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Марат Аллаяров\Баш. дворики (на сайт)\"/>
    </mc:Choice>
  </mc:AlternateContent>
  <bookViews>
    <workbookView xWindow="0" yWindow="0" windowWidth="19200" windowHeight="10695" firstSheet="1" activeTab="1"/>
  </bookViews>
  <sheets>
    <sheet name="без отказных " sheetId="9" state="hidden" r:id="rId1"/>
    <sheet name="адреса" sheetId="10" r:id="rId2"/>
    <sheet name="общий с отказными" sheetId="1" state="hidden" r:id="rId3"/>
    <sheet name="2019-2021" sheetId="7" state="hidden" r:id="rId4"/>
    <sheet name="общий" sheetId="11" r:id="rId5"/>
  </sheets>
  <definedNames>
    <definedName name="_xlnm._FilterDatabase" localSheetId="3" hidden="1">'2019-2021'!$A$5:$O$5</definedName>
    <definedName name="_xlnm._FilterDatabase" localSheetId="4" hidden="1">общий!$A$4:$L$16</definedName>
    <definedName name="_xlnm.Print_Titles" localSheetId="1">адреса!$3:$3</definedName>
    <definedName name="_xlnm.Print_Titles" localSheetId="0">'без отказных '!$6:$8</definedName>
    <definedName name="_xlnm.Print_Titles" localSheetId="2">'общий с отказными'!$5:$7</definedName>
    <definedName name="_xlnm.Print_Area" localSheetId="1">адреса!$A$1:$C$106</definedName>
    <definedName name="_xlnm.Print_Area" localSheetId="0">'без отказных '!$A$1:$Z$145</definedName>
    <definedName name="_xlnm.Print_Area" localSheetId="2">'общий с отказными'!$A$1:$Z$125</definedName>
  </definedNames>
  <calcPr calcId="162913"/>
</workbook>
</file>

<file path=xl/calcChain.xml><?xml version="1.0" encoding="utf-8"?>
<calcChain xmlns="http://schemas.openxmlformats.org/spreadsheetml/2006/main">
  <c r="I16" i="11" l="1"/>
  <c r="K16" i="11"/>
  <c r="J9" i="11"/>
  <c r="J10" i="11"/>
  <c r="J11" i="11"/>
  <c r="J12" i="11"/>
  <c r="J13" i="11"/>
  <c r="J14" i="11"/>
  <c r="J15" i="11"/>
  <c r="J8" i="11"/>
  <c r="L15" i="11"/>
  <c r="L13" i="11"/>
  <c r="L10" i="11"/>
  <c r="J16" i="11" l="1"/>
  <c r="L14" i="11" l="1"/>
  <c r="L12" i="11"/>
  <c r="L11" i="11"/>
  <c r="L9" i="11"/>
  <c r="L8" i="11"/>
  <c r="C16" i="11"/>
  <c r="L16" i="11" l="1"/>
  <c r="K31" i="11"/>
  <c r="J31" i="11"/>
  <c r="I31" i="11"/>
  <c r="H31" i="11"/>
  <c r="G31" i="11"/>
  <c r="F31" i="11"/>
  <c r="E31" i="11"/>
  <c r="C31" i="11"/>
  <c r="F16" i="11" l="1"/>
  <c r="G16" i="11"/>
  <c r="H16" i="11"/>
  <c r="E16" i="11" l="1"/>
  <c r="A106" i="10" l="1"/>
  <c r="B70" i="10"/>
  <c r="B44" i="10"/>
  <c r="B33" i="10"/>
  <c r="B12" i="10"/>
  <c r="B105" i="10"/>
  <c r="B65" i="10"/>
  <c r="B50" i="10"/>
  <c r="B7" i="10"/>
  <c r="B106" i="10" l="1"/>
  <c r="B136" i="9" l="1"/>
  <c r="E136" i="9"/>
  <c r="G136" i="9"/>
  <c r="H136" i="9"/>
  <c r="I136" i="9"/>
  <c r="J136" i="9"/>
  <c r="K136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23" i="9"/>
  <c r="D96" i="9"/>
  <c r="D95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L135" i="9"/>
  <c r="L133" i="9"/>
  <c r="L132" i="9"/>
  <c r="L131" i="9"/>
  <c r="L130" i="9"/>
  <c r="L129" i="9"/>
  <c r="L128" i="9"/>
  <c r="L127" i="9"/>
  <c r="L126" i="9"/>
  <c r="L125" i="9"/>
  <c r="L124" i="9"/>
  <c r="L123" i="9"/>
  <c r="N119" i="9"/>
  <c r="O119" i="9"/>
  <c r="P119" i="9"/>
  <c r="Q119" i="9"/>
  <c r="L92" i="9"/>
  <c r="L118" i="9"/>
  <c r="A119" i="9"/>
  <c r="M118" i="9"/>
  <c r="M119" i="9" s="1"/>
  <c r="K118" i="9"/>
  <c r="J118" i="9"/>
  <c r="I118" i="9"/>
  <c r="H118" i="9"/>
  <c r="F118" i="9"/>
  <c r="D117" i="9"/>
  <c r="G118" i="9"/>
  <c r="D116" i="9"/>
  <c r="D115" i="9"/>
  <c r="D114" i="9"/>
  <c r="L113" i="9"/>
  <c r="R113" i="9" s="1"/>
  <c r="K113" i="9"/>
  <c r="J113" i="9"/>
  <c r="I113" i="9"/>
  <c r="H113" i="9"/>
  <c r="G113" i="9"/>
  <c r="F113" i="9"/>
  <c r="E113" i="9"/>
  <c r="B113" i="9"/>
  <c r="B119" i="9" s="1"/>
  <c r="D112" i="9"/>
  <c r="D113" i="9" s="1"/>
  <c r="K110" i="9"/>
  <c r="J110" i="9"/>
  <c r="I110" i="9"/>
  <c r="H110" i="9"/>
  <c r="G110" i="9"/>
  <c r="F110" i="9"/>
  <c r="E110" i="9"/>
  <c r="L109" i="9"/>
  <c r="L110" i="9" s="1"/>
  <c r="R110" i="9" s="1"/>
  <c r="D109" i="9"/>
  <c r="D110" i="9" s="1"/>
  <c r="A105" i="9"/>
  <c r="L104" i="9"/>
  <c r="K104" i="9"/>
  <c r="I104" i="9"/>
  <c r="G104" i="9"/>
  <c r="F104" i="9"/>
  <c r="E104" i="9"/>
  <c r="B104" i="9"/>
  <c r="J103" i="9"/>
  <c r="J104" i="9" s="1"/>
  <c r="D103" i="9"/>
  <c r="H102" i="9"/>
  <c r="D102" i="9"/>
  <c r="H101" i="9"/>
  <c r="D101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B99" i="9"/>
  <c r="D98" i="9"/>
  <c r="D97" i="9"/>
  <c r="D94" i="9"/>
  <c r="Q92" i="9"/>
  <c r="P92" i="9"/>
  <c r="O92" i="9"/>
  <c r="N92" i="9"/>
  <c r="M92" i="9"/>
  <c r="K92" i="9"/>
  <c r="J92" i="9"/>
  <c r="I92" i="9"/>
  <c r="G92" i="9"/>
  <c r="E92" i="9"/>
  <c r="B92" i="9"/>
  <c r="D91" i="9"/>
  <c r="D90" i="9"/>
  <c r="D89" i="9"/>
  <c r="F88" i="9"/>
  <c r="D88" i="9"/>
  <c r="D87" i="9"/>
  <c r="F86" i="9"/>
  <c r="D86" i="9"/>
  <c r="D85" i="9"/>
  <c r="D84" i="9"/>
  <c r="D83" i="9"/>
  <c r="D82" i="9"/>
  <c r="D81" i="9"/>
  <c r="F80" i="9"/>
  <c r="D80" i="9"/>
  <c r="D79" i="9"/>
  <c r="D78" i="9"/>
  <c r="D77" i="9"/>
  <c r="D76" i="9"/>
  <c r="D75" i="9"/>
  <c r="H74" i="9"/>
  <c r="H92" i="9" s="1"/>
  <c r="D74" i="9"/>
  <c r="Z72" i="9"/>
  <c r="Y72" i="9"/>
  <c r="X72" i="9"/>
  <c r="W72" i="9"/>
  <c r="V72" i="9"/>
  <c r="U72" i="9"/>
  <c r="T72" i="9"/>
  <c r="S72" i="9"/>
  <c r="Q72" i="9"/>
  <c r="P72" i="9"/>
  <c r="O72" i="9"/>
  <c r="N72" i="9"/>
  <c r="M72" i="9"/>
  <c r="L72" i="9"/>
  <c r="K72" i="9"/>
  <c r="I72" i="9"/>
  <c r="G72" i="9"/>
  <c r="F72" i="9"/>
  <c r="E72" i="9"/>
  <c r="B72" i="9"/>
  <c r="H71" i="9"/>
  <c r="D71" i="9"/>
  <c r="J70" i="9"/>
  <c r="J72" i="9" s="1"/>
  <c r="D70" i="9"/>
  <c r="H69" i="9"/>
  <c r="H72" i="9" s="1"/>
  <c r="D69" i="9"/>
  <c r="Q67" i="9"/>
  <c r="P67" i="9"/>
  <c r="O67" i="9"/>
  <c r="N67" i="9"/>
  <c r="M67" i="9"/>
  <c r="L67" i="9"/>
  <c r="K67" i="9"/>
  <c r="J67" i="9"/>
  <c r="E67" i="9"/>
  <c r="B67" i="9"/>
  <c r="I66" i="9"/>
  <c r="I67" i="9" s="1"/>
  <c r="G66" i="9"/>
  <c r="G67" i="9" s="1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F52" i="9"/>
  <c r="F67" i="9" s="1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H35" i="9"/>
  <c r="H67" i="9" s="1"/>
  <c r="D35" i="9"/>
  <c r="Q33" i="9"/>
  <c r="P33" i="9"/>
  <c r="O33" i="9"/>
  <c r="N33" i="9"/>
  <c r="M33" i="9"/>
  <c r="L33" i="9"/>
  <c r="K33" i="9"/>
  <c r="J33" i="9"/>
  <c r="I33" i="9"/>
  <c r="G33" i="9"/>
  <c r="F33" i="9"/>
  <c r="E33" i="9"/>
  <c r="B33" i="9"/>
  <c r="H31" i="9"/>
  <c r="D31" i="9"/>
  <c r="H30" i="9"/>
  <c r="D30" i="9"/>
  <c r="H29" i="9"/>
  <c r="D29" i="9"/>
  <c r="H28" i="9"/>
  <c r="D28" i="9"/>
  <c r="D27" i="9"/>
  <c r="D26" i="9"/>
  <c r="D25" i="9"/>
  <c r="D24" i="9"/>
  <c r="D23" i="9"/>
  <c r="D22" i="9"/>
  <c r="D21" i="9"/>
  <c r="D20" i="9"/>
  <c r="H19" i="9"/>
  <c r="D19" i="9"/>
  <c r="L17" i="9"/>
  <c r="K17" i="9"/>
  <c r="J17" i="9"/>
  <c r="I17" i="9"/>
  <c r="G17" i="9"/>
  <c r="F17" i="9"/>
  <c r="E17" i="9"/>
  <c r="B17" i="9"/>
  <c r="D16" i="9"/>
  <c r="H15" i="9"/>
  <c r="H14" i="9"/>
  <c r="D14" i="9"/>
  <c r="F13" i="9"/>
  <c r="D13" i="9"/>
  <c r="L11" i="9"/>
  <c r="K11" i="9"/>
  <c r="K105" i="9" s="1"/>
  <c r="J11" i="9"/>
  <c r="I11" i="9"/>
  <c r="G11" i="9"/>
  <c r="F11" i="9"/>
  <c r="E11" i="9"/>
  <c r="D11" i="9"/>
  <c r="B11" i="9"/>
  <c r="H10" i="9"/>
  <c r="H11" i="9" s="1"/>
  <c r="L105" i="9" l="1"/>
  <c r="H33" i="9"/>
  <c r="D72" i="9"/>
  <c r="D104" i="9"/>
  <c r="H104" i="9"/>
  <c r="D136" i="9"/>
  <c r="D17" i="9"/>
  <c r="D33" i="9"/>
  <c r="D99" i="9"/>
  <c r="D118" i="9"/>
  <c r="B105" i="9"/>
  <c r="B120" i="9" s="1"/>
  <c r="E105" i="9"/>
  <c r="H17" i="9"/>
  <c r="N105" i="9"/>
  <c r="N120" i="9" s="1"/>
  <c r="D92" i="9"/>
  <c r="F92" i="9"/>
  <c r="R92" i="9" s="1"/>
  <c r="L136" i="9"/>
  <c r="F136" i="9"/>
  <c r="L119" i="9"/>
  <c r="D67" i="9"/>
  <c r="R33" i="9"/>
  <c r="R72" i="9"/>
  <c r="R99" i="9"/>
  <c r="P105" i="9"/>
  <c r="E119" i="9"/>
  <c r="H119" i="9"/>
  <c r="J119" i="9"/>
  <c r="A120" i="9"/>
  <c r="R17" i="9"/>
  <c r="O105" i="9"/>
  <c r="Q105" i="9"/>
  <c r="Q120" i="9" s="1"/>
  <c r="R104" i="9"/>
  <c r="G119" i="9"/>
  <c r="F119" i="9"/>
  <c r="I119" i="9"/>
  <c r="K119" i="9"/>
  <c r="K120" i="9" s="1"/>
  <c r="G105" i="9"/>
  <c r="E120" i="9"/>
  <c r="L120" i="9"/>
  <c r="H105" i="9"/>
  <c r="H120" i="9" s="1"/>
  <c r="J105" i="9"/>
  <c r="J120" i="9" s="1"/>
  <c r="I105" i="9"/>
  <c r="D119" i="9"/>
  <c r="R11" i="9"/>
  <c r="R67" i="9"/>
  <c r="M105" i="9"/>
  <c r="R118" i="9"/>
  <c r="R119" i="9" s="1"/>
  <c r="F105" i="9" l="1"/>
  <c r="R105" i="9"/>
  <c r="R106" i="9" s="1"/>
  <c r="I120" i="9"/>
  <c r="F120" i="9"/>
  <c r="D105" i="9"/>
  <c r="G120" i="9"/>
  <c r="D120" i="9"/>
  <c r="AA106" i="9"/>
  <c r="AA107" i="9" s="1"/>
  <c r="M120" i="9"/>
  <c r="R120" i="9" l="1"/>
  <c r="J138" i="7" l="1"/>
  <c r="H138" i="7"/>
  <c r="G138" i="7"/>
  <c r="K137" i="7"/>
  <c r="I137" i="7"/>
  <c r="K136" i="7"/>
  <c r="L136" i="7" s="1"/>
  <c r="O136" i="7" s="1"/>
  <c r="K135" i="7"/>
  <c r="I135" i="7"/>
  <c r="K134" i="7"/>
  <c r="I134" i="7"/>
  <c r="K133" i="7"/>
  <c r="I133" i="7"/>
  <c r="K132" i="7"/>
  <c r="I132" i="7"/>
  <c r="K131" i="7"/>
  <c r="I131" i="7"/>
  <c r="K130" i="7"/>
  <c r="I130" i="7"/>
  <c r="K129" i="7"/>
  <c r="I129" i="7"/>
  <c r="K128" i="7"/>
  <c r="I128" i="7"/>
  <c r="K127" i="7"/>
  <c r="I127" i="7"/>
  <c r="K126" i="7"/>
  <c r="I126" i="7"/>
  <c r="K125" i="7"/>
  <c r="I125" i="7"/>
  <c r="K124" i="7"/>
  <c r="I124" i="7"/>
  <c r="K123" i="7"/>
  <c r="I123" i="7"/>
  <c r="K122" i="7"/>
  <c r="I122" i="7"/>
  <c r="K121" i="7"/>
  <c r="I121" i="7"/>
  <c r="K120" i="7"/>
  <c r="I120" i="7"/>
  <c r="K119" i="7"/>
  <c r="I119" i="7"/>
  <c r="K118" i="7"/>
  <c r="I118" i="7"/>
  <c r="K117" i="7"/>
  <c r="I117" i="7"/>
  <c r="K116" i="7"/>
  <c r="I116" i="7"/>
  <c r="K115" i="7"/>
  <c r="I115" i="7"/>
  <c r="K114" i="7"/>
  <c r="I114" i="7"/>
  <c r="K113" i="7"/>
  <c r="I113" i="7"/>
  <c r="K112" i="7"/>
  <c r="I112" i="7"/>
  <c r="K111" i="7"/>
  <c r="I111" i="7"/>
  <c r="K110" i="7"/>
  <c r="I110" i="7"/>
  <c r="K109" i="7"/>
  <c r="I109" i="7"/>
  <c r="K108" i="7"/>
  <c r="I108" i="7"/>
  <c r="K107" i="7"/>
  <c r="I107" i="7"/>
  <c r="K106" i="7"/>
  <c r="I106" i="7"/>
  <c r="K105" i="7"/>
  <c r="I105" i="7"/>
  <c r="K104" i="7"/>
  <c r="I104" i="7"/>
  <c r="K103" i="7"/>
  <c r="I103" i="7"/>
  <c r="K102" i="7"/>
  <c r="I102" i="7"/>
  <c r="K101" i="7"/>
  <c r="I101" i="7"/>
  <c r="K100" i="7"/>
  <c r="I100" i="7"/>
  <c r="K99" i="7"/>
  <c r="I99" i="7"/>
  <c r="K98" i="7"/>
  <c r="I98" i="7"/>
  <c r="K97" i="7"/>
  <c r="I97" i="7"/>
  <c r="L137" i="7" l="1"/>
  <c r="I138" i="7"/>
  <c r="L103" i="7"/>
  <c r="L104" i="7"/>
  <c r="N104" i="7" s="1"/>
  <c r="L109" i="7"/>
  <c r="L110" i="7"/>
  <c r="N110" i="7" s="1"/>
  <c r="L111" i="7"/>
  <c r="L116" i="7"/>
  <c r="N116" i="7" s="1"/>
  <c r="L117" i="7"/>
  <c r="L118" i="7"/>
  <c r="N118" i="7" s="1"/>
  <c r="L119" i="7"/>
  <c r="L120" i="7"/>
  <c r="N120" i="7" s="1"/>
  <c r="L121" i="7"/>
  <c r="L122" i="7"/>
  <c r="N122" i="7" s="1"/>
  <c r="L123" i="7"/>
  <c r="L124" i="7"/>
  <c r="N124" i="7" s="1"/>
  <c r="L125" i="7"/>
  <c r="L126" i="7"/>
  <c r="N126" i="7" s="1"/>
  <c r="L127" i="7"/>
  <c r="L128" i="7"/>
  <c r="N128" i="7" s="1"/>
  <c r="L129" i="7"/>
  <c r="L130" i="7"/>
  <c r="N130" i="7" s="1"/>
  <c r="L131" i="7"/>
  <c r="L132" i="7"/>
  <c r="N132" i="7" s="1"/>
  <c r="L133" i="7"/>
  <c r="L134" i="7"/>
  <c r="N134" i="7" s="1"/>
  <c r="L97" i="7"/>
  <c r="L98" i="7"/>
  <c r="L99" i="7"/>
  <c r="L100" i="7"/>
  <c r="N100" i="7" s="1"/>
  <c r="L101" i="7"/>
  <c r="L102" i="7"/>
  <c r="N102" i="7" s="1"/>
  <c r="L105" i="7"/>
  <c r="L106" i="7"/>
  <c r="N106" i="7" s="1"/>
  <c r="L107" i="7"/>
  <c r="L108" i="7"/>
  <c r="N108" i="7" s="1"/>
  <c r="L112" i="7"/>
  <c r="L113" i="7"/>
  <c r="N113" i="7" s="1"/>
  <c r="L114" i="7"/>
  <c r="L115" i="7"/>
  <c r="N115" i="7" s="1"/>
  <c r="L135" i="7"/>
  <c r="N103" i="7"/>
  <c r="O103" i="7"/>
  <c r="M103" i="7"/>
  <c r="N109" i="7"/>
  <c r="O109" i="7"/>
  <c r="M109" i="7"/>
  <c r="N111" i="7"/>
  <c r="O111" i="7"/>
  <c r="M111" i="7"/>
  <c r="N117" i="7"/>
  <c r="O117" i="7"/>
  <c r="M117" i="7"/>
  <c r="N119" i="7"/>
  <c r="O119" i="7"/>
  <c r="M119" i="7"/>
  <c r="N121" i="7"/>
  <c r="O121" i="7"/>
  <c r="M121" i="7"/>
  <c r="N123" i="7"/>
  <c r="O123" i="7"/>
  <c r="M123" i="7"/>
  <c r="N125" i="7"/>
  <c r="O125" i="7"/>
  <c r="M125" i="7"/>
  <c r="N127" i="7"/>
  <c r="O127" i="7"/>
  <c r="M127" i="7"/>
  <c r="N129" i="7"/>
  <c r="O129" i="7"/>
  <c r="M129" i="7"/>
  <c r="N131" i="7"/>
  <c r="O131" i="7"/>
  <c r="M131" i="7"/>
  <c r="N133" i="7"/>
  <c r="O133" i="7"/>
  <c r="M133" i="7"/>
  <c r="O137" i="7"/>
  <c r="M137" i="7"/>
  <c r="N137" i="7"/>
  <c r="N97" i="7"/>
  <c r="O97" i="7"/>
  <c r="M97" i="7"/>
  <c r="O98" i="7"/>
  <c r="N99" i="7"/>
  <c r="O99" i="7"/>
  <c r="M99" i="7"/>
  <c r="O100" i="7"/>
  <c r="N101" i="7"/>
  <c r="O101" i="7"/>
  <c r="M101" i="7"/>
  <c r="O102" i="7"/>
  <c r="N105" i="7"/>
  <c r="O105" i="7"/>
  <c r="M105" i="7"/>
  <c r="O106" i="7"/>
  <c r="N107" i="7"/>
  <c r="O107" i="7"/>
  <c r="M107" i="7"/>
  <c r="O108" i="7"/>
  <c r="N112" i="7"/>
  <c r="O112" i="7"/>
  <c r="M112" i="7"/>
  <c r="O113" i="7"/>
  <c r="N114" i="7"/>
  <c r="O114" i="7"/>
  <c r="M114" i="7"/>
  <c r="O115" i="7"/>
  <c r="N135" i="7"/>
  <c r="O135" i="7"/>
  <c r="M135" i="7"/>
  <c r="N136" i="7"/>
  <c r="K138" i="7"/>
  <c r="M136" i="7"/>
  <c r="J181" i="7"/>
  <c r="H181" i="7"/>
  <c r="G181" i="7"/>
  <c r="K180" i="7"/>
  <c r="I180" i="7"/>
  <c r="K179" i="7"/>
  <c r="L179" i="7" s="1"/>
  <c r="K178" i="7"/>
  <c r="I178" i="7"/>
  <c r="K177" i="7"/>
  <c r="I177" i="7"/>
  <c r="K176" i="7"/>
  <c r="I176" i="7"/>
  <c r="K175" i="7"/>
  <c r="I175" i="7"/>
  <c r="K174" i="7"/>
  <c r="I174" i="7"/>
  <c r="K173" i="7"/>
  <c r="I173" i="7"/>
  <c r="K172" i="7"/>
  <c r="I172" i="7"/>
  <c r="K171" i="7"/>
  <c r="I171" i="7"/>
  <c r="K170" i="7"/>
  <c r="I170" i="7"/>
  <c r="K169" i="7"/>
  <c r="I169" i="7"/>
  <c r="K168" i="7"/>
  <c r="I168" i="7"/>
  <c r="K167" i="7"/>
  <c r="I167" i="7"/>
  <c r="K166" i="7"/>
  <c r="I166" i="7"/>
  <c r="K165" i="7"/>
  <c r="I165" i="7"/>
  <c r="K164" i="7"/>
  <c r="I164" i="7"/>
  <c r="L164" i="7" s="1"/>
  <c r="K163" i="7"/>
  <c r="I163" i="7"/>
  <c r="L163" i="7" s="1"/>
  <c r="K162" i="7"/>
  <c r="I162" i="7"/>
  <c r="L162" i="7" s="1"/>
  <c r="K161" i="7"/>
  <c r="I161" i="7"/>
  <c r="L161" i="7" s="1"/>
  <c r="K160" i="7"/>
  <c r="I160" i="7"/>
  <c r="L160" i="7" s="1"/>
  <c r="K159" i="7"/>
  <c r="I159" i="7"/>
  <c r="L159" i="7" s="1"/>
  <c r="K158" i="7"/>
  <c r="I158" i="7"/>
  <c r="K157" i="7"/>
  <c r="I157" i="7"/>
  <c r="K156" i="7"/>
  <c r="I156" i="7"/>
  <c r="K155" i="7"/>
  <c r="I155" i="7"/>
  <c r="K154" i="7"/>
  <c r="I154" i="7"/>
  <c r="L154" i="7" s="1"/>
  <c r="K153" i="7"/>
  <c r="I153" i="7"/>
  <c r="L153" i="7" s="1"/>
  <c r="K152" i="7"/>
  <c r="I152" i="7"/>
  <c r="L152" i="7" s="1"/>
  <c r="K151" i="7"/>
  <c r="I151" i="7"/>
  <c r="L151" i="7" s="1"/>
  <c r="K150" i="7"/>
  <c r="I150" i="7"/>
  <c r="L150" i="7" s="1"/>
  <c r="K149" i="7"/>
  <c r="I149" i="7"/>
  <c r="L149" i="7" s="1"/>
  <c r="K148" i="7"/>
  <c r="I148" i="7"/>
  <c r="L148" i="7" s="1"/>
  <c r="K147" i="7"/>
  <c r="I147" i="7"/>
  <c r="L147" i="7" s="1"/>
  <c r="K146" i="7"/>
  <c r="I146" i="7"/>
  <c r="L146" i="7" s="1"/>
  <c r="K145" i="7"/>
  <c r="I145" i="7"/>
  <c r="L145" i="7" s="1"/>
  <c r="K144" i="7"/>
  <c r="I144" i="7"/>
  <c r="K143" i="7"/>
  <c r="I143" i="7"/>
  <c r="K142" i="7"/>
  <c r="I142" i="7"/>
  <c r="K141" i="7"/>
  <c r="I141" i="7"/>
  <c r="K140" i="7"/>
  <c r="I140" i="7"/>
  <c r="B97" i="1"/>
  <c r="B75" i="1"/>
  <c r="B67" i="1"/>
  <c r="B33" i="1"/>
  <c r="B18" i="1"/>
  <c r="B12" i="1"/>
  <c r="D110" i="1"/>
  <c r="F110" i="1"/>
  <c r="H110" i="1"/>
  <c r="L110" i="1"/>
  <c r="E12" i="1"/>
  <c r="F12" i="1"/>
  <c r="G12" i="1"/>
  <c r="I12" i="1"/>
  <c r="J12" i="1"/>
  <c r="K12" i="1"/>
  <c r="L12" i="1"/>
  <c r="D12" i="1"/>
  <c r="J95" i="7"/>
  <c r="H95" i="7"/>
  <c r="G95" i="7"/>
  <c r="K94" i="7"/>
  <c r="I94" i="7"/>
  <c r="K93" i="7"/>
  <c r="I93" i="7"/>
  <c r="K92" i="7"/>
  <c r="I92" i="7"/>
  <c r="K91" i="7"/>
  <c r="I91" i="7"/>
  <c r="K90" i="7"/>
  <c r="I90" i="7"/>
  <c r="K89" i="7"/>
  <c r="I89" i="7"/>
  <c r="K88" i="7"/>
  <c r="I88" i="7"/>
  <c r="K87" i="7"/>
  <c r="I87" i="7"/>
  <c r="K86" i="7"/>
  <c r="I86" i="7"/>
  <c r="K85" i="7"/>
  <c r="I85" i="7"/>
  <c r="K84" i="7"/>
  <c r="I84" i="7"/>
  <c r="K83" i="7"/>
  <c r="I83" i="7"/>
  <c r="K82" i="7"/>
  <c r="I82" i="7"/>
  <c r="K81" i="7"/>
  <c r="I81" i="7"/>
  <c r="K80" i="7"/>
  <c r="I80" i="7"/>
  <c r="K79" i="7"/>
  <c r="I79" i="7"/>
  <c r="K78" i="7"/>
  <c r="I78" i="7"/>
  <c r="K77" i="7"/>
  <c r="I77" i="7"/>
  <c r="K76" i="7"/>
  <c r="I76" i="7"/>
  <c r="K75" i="7"/>
  <c r="I75" i="7"/>
  <c r="K74" i="7"/>
  <c r="I74" i="7"/>
  <c r="K73" i="7"/>
  <c r="I73" i="7"/>
  <c r="K72" i="7"/>
  <c r="I72" i="7"/>
  <c r="K71" i="7"/>
  <c r="I71" i="7"/>
  <c r="K70" i="7"/>
  <c r="I70" i="7"/>
  <c r="K69" i="7"/>
  <c r="I69" i="7"/>
  <c r="K68" i="7"/>
  <c r="I68" i="7"/>
  <c r="K67" i="7"/>
  <c r="I67" i="7"/>
  <c r="K66" i="7"/>
  <c r="L66" i="7" s="1"/>
  <c r="K65" i="7"/>
  <c r="I65" i="7"/>
  <c r="K64" i="7"/>
  <c r="I64" i="7"/>
  <c r="K63" i="7"/>
  <c r="L63" i="7" s="1"/>
  <c r="N63" i="7" s="1"/>
  <c r="K62" i="7"/>
  <c r="I62" i="7"/>
  <c r="K61" i="7"/>
  <c r="I61" i="7"/>
  <c r="K60" i="7"/>
  <c r="I60" i="7"/>
  <c r="K59" i="7"/>
  <c r="I59" i="7"/>
  <c r="K58" i="7"/>
  <c r="I58" i="7"/>
  <c r="K57" i="7"/>
  <c r="I57" i="7"/>
  <c r="K56" i="7"/>
  <c r="I56" i="7"/>
  <c r="K55" i="7"/>
  <c r="I55" i="7"/>
  <c r="K54" i="7"/>
  <c r="I54" i="7"/>
  <c r="K53" i="7"/>
  <c r="I53" i="7"/>
  <c r="J51" i="7"/>
  <c r="H51" i="7"/>
  <c r="G51" i="7"/>
  <c r="K50" i="7"/>
  <c r="I50" i="7"/>
  <c r="K49" i="7"/>
  <c r="I49" i="7"/>
  <c r="K48" i="7"/>
  <c r="I48" i="7"/>
  <c r="K47" i="7"/>
  <c r="I47" i="7"/>
  <c r="K46" i="7"/>
  <c r="I46" i="7"/>
  <c r="K45" i="7"/>
  <c r="I45" i="7"/>
  <c r="K44" i="7"/>
  <c r="I44" i="7"/>
  <c r="K43" i="7"/>
  <c r="I43" i="7"/>
  <c r="K42" i="7"/>
  <c r="I42" i="7"/>
  <c r="K41" i="7"/>
  <c r="I41" i="7"/>
  <c r="K40" i="7"/>
  <c r="I40" i="7"/>
  <c r="K39" i="7"/>
  <c r="I39" i="7"/>
  <c r="L39" i="7" s="1"/>
  <c r="K38" i="7"/>
  <c r="I38" i="7"/>
  <c r="L38" i="7" s="1"/>
  <c r="K37" i="7"/>
  <c r="I37" i="7"/>
  <c r="L37" i="7" s="1"/>
  <c r="K36" i="7"/>
  <c r="I36" i="7"/>
  <c r="L36" i="7" s="1"/>
  <c r="K35" i="7"/>
  <c r="I35" i="7"/>
  <c r="L35" i="7" s="1"/>
  <c r="K34" i="7"/>
  <c r="I34" i="7"/>
  <c r="L34" i="7" s="1"/>
  <c r="K33" i="7"/>
  <c r="I33" i="7"/>
  <c r="L33" i="7" s="1"/>
  <c r="K32" i="7"/>
  <c r="I32" i="7"/>
  <c r="L32" i="7" s="1"/>
  <c r="K31" i="7"/>
  <c r="I31" i="7"/>
  <c r="L31" i="7" s="1"/>
  <c r="K30" i="7"/>
  <c r="I30" i="7"/>
  <c r="L30" i="7" s="1"/>
  <c r="K29" i="7"/>
  <c r="I29" i="7"/>
  <c r="L29" i="7" s="1"/>
  <c r="K28" i="7"/>
  <c r="I28" i="7"/>
  <c r="L28" i="7" s="1"/>
  <c r="K27" i="7"/>
  <c r="I27" i="7"/>
  <c r="L27" i="7" s="1"/>
  <c r="K26" i="7"/>
  <c r="I26" i="7"/>
  <c r="L26" i="7" s="1"/>
  <c r="K25" i="7"/>
  <c r="I25" i="7"/>
  <c r="L25" i="7" s="1"/>
  <c r="K24" i="7"/>
  <c r="I24" i="7"/>
  <c r="L24" i="7" s="1"/>
  <c r="K23" i="7"/>
  <c r="I23" i="7"/>
  <c r="L23" i="7" s="1"/>
  <c r="K22" i="7"/>
  <c r="I22" i="7"/>
  <c r="L22" i="7" s="1"/>
  <c r="K21" i="7"/>
  <c r="I21" i="7"/>
  <c r="L21" i="7" s="1"/>
  <c r="K20" i="7"/>
  <c r="I20" i="7"/>
  <c r="L20" i="7" s="1"/>
  <c r="K19" i="7"/>
  <c r="I19" i="7"/>
  <c r="L19" i="7" s="1"/>
  <c r="K18" i="7"/>
  <c r="I18" i="7"/>
  <c r="L18" i="7" s="1"/>
  <c r="K17" i="7"/>
  <c r="I17" i="7"/>
  <c r="L17" i="7" s="1"/>
  <c r="K16" i="7"/>
  <c r="I16" i="7"/>
  <c r="L16" i="7" s="1"/>
  <c r="K15" i="7"/>
  <c r="I15" i="7"/>
  <c r="L15" i="7" s="1"/>
  <c r="K14" i="7"/>
  <c r="I14" i="7"/>
  <c r="L14" i="7" s="1"/>
  <c r="K13" i="7"/>
  <c r="I13" i="7"/>
  <c r="L13" i="7" s="1"/>
  <c r="K12" i="7"/>
  <c r="I12" i="7"/>
  <c r="L12" i="7" s="1"/>
  <c r="K11" i="7"/>
  <c r="I11" i="7"/>
  <c r="L11" i="7" s="1"/>
  <c r="K10" i="7"/>
  <c r="I10" i="7"/>
  <c r="L10" i="7" s="1"/>
  <c r="K9" i="7"/>
  <c r="I9" i="7"/>
  <c r="L9" i="7" s="1"/>
  <c r="K8" i="7"/>
  <c r="I8" i="7"/>
  <c r="L8" i="7" s="1"/>
  <c r="K7" i="7"/>
  <c r="I7" i="7"/>
  <c r="L7" i="7" s="1"/>
  <c r="K6" i="7"/>
  <c r="I6" i="7"/>
  <c r="L111" i="1"/>
  <c r="L108" i="1"/>
  <c r="F111" i="1"/>
  <c r="F108" i="1"/>
  <c r="D100" i="1"/>
  <c r="D102" i="1"/>
  <c r="D103" i="1"/>
  <c r="D104" i="1"/>
  <c r="L104" i="1"/>
  <c r="L103" i="1"/>
  <c r="L102" i="1"/>
  <c r="L100" i="1"/>
  <c r="L99" i="1"/>
  <c r="F104" i="1"/>
  <c r="F103" i="1"/>
  <c r="F102" i="1"/>
  <c r="F100" i="1"/>
  <c r="F99" i="1"/>
  <c r="D78" i="1"/>
  <c r="D79" i="1"/>
  <c r="D80" i="1"/>
  <c r="D81" i="1"/>
  <c r="D83" i="1"/>
  <c r="D84" i="1"/>
  <c r="D86" i="1"/>
  <c r="D87" i="1"/>
  <c r="D88" i="1"/>
  <c r="D90" i="1"/>
  <c r="D91" i="1"/>
  <c r="D92" i="1"/>
  <c r="D82" i="1"/>
  <c r="D93" i="1"/>
  <c r="D94" i="1"/>
  <c r="D95" i="1"/>
  <c r="D96" i="1"/>
  <c r="L96" i="1"/>
  <c r="L95" i="1"/>
  <c r="L94" i="1"/>
  <c r="L93" i="1"/>
  <c r="L82" i="1"/>
  <c r="L92" i="1"/>
  <c r="L91" i="1"/>
  <c r="L90" i="1"/>
  <c r="L88" i="1"/>
  <c r="L87" i="1"/>
  <c r="L86" i="1"/>
  <c r="L84" i="1"/>
  <c r="L83" i="1"/>
  <c r="L81" i="1"/>
  <c r="L80" i="1"/>
  <c r="L79" i="1"/>
  <c r="L78" i="1"/>
  <c r="L77" i="1"/>
  <c r="F96" i="1"/>
  <c r="F95" i="1"/>
  <c r="F94" i="1"/>
  <c r="F93" i="1"/>
  <c r="F82" i="1"/>
  <c r="F92" i="1"/>
  <c r="F91" i="1"/>
  <c r="F90" i="1"/>
  <c r="F88" i="1"/>
  <c r="F87" i="1"/>
  <c r="F86" i="1"/>
  <c r="F84" i="1"/>
  <c r="F83" i="1"/>
  <c r="F81" i="1"/>
  <c r="F80" i="1"/>
  <c r="F79" i="1"/>
  <c r="F78" i="1"/>
  <c r="F77" i="1"/>
  <c r="F72" i="1"/>
  <c r="F73" i="1"/>
  <c r="F71" i="1"/>
  <c r="F69" i="1"/>
  <c r="L71" i="1"/>
  <c r="L72" i="1"/>
  <c r="L69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6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6" i="1"/>
  <c r="F35" i="1"/>
  <c r="L66" i="1"/>
  <c r="L64" i="1"/>
  <c r="L63" i="1"/>
  <c r="L62" i="1"/>
  <c r="L61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F21" i="1"/>
  <c r="F22" i="1"/>
  <c r="F23" i="1"/>
  <c r="F24" i="1"/>
  <c r="F25" i="1"/>
  <c r="F26" i="1"/>
  <c r="F27" i="1"/>
  <c r="F28" i="1"/>
  <c r="F29" i="1"/>
  <c r="F30" i="1"/>
  <c r="F31" i="1"/>
  <c r="F32" i="1"/>
  <c r="F20" i="1"/>
  <c r="L15" i="1"/>
  <c r="L16" i="1"/>
  <c r="L17" i="1"/>
  <c r="L14" i="1"/>
  <c r="D21" i="1"/>
  <c r="D22" i="1"/>
  <c r="D23" i="1"/>
  <c r="D24" i="1"/>
  <c r="D25" i="1"/>
  <c r="D26" i="1"/>
  <c r="D27" i="1"/>
  <c r="D28" i="1"/>
  <c r="D29" i="1"/>
  <c r="D30" i="1"/>
  <c r="D31" i="1"/>
  <c r="D32" i="1"/>
  <c r="F15" i="1"/>
  <c r="F14" i="1"/>
  <c r="I181" i="7" l="1"/>
  <c r="O134" i="7"/>
  <c r="O132" i="7"/>
  <c r="O130" i="7"/>
  <c r="O128" i="7"/>
  <c r="O126" i="7"/>
  <c r="O124" i="7"/>
  <c r="O122" i="7"/>
  <c r="O120" i="7"/>
  <c r="O118" i="7"/>
  <c r="O116" i="7"/>
  <c r="O110" i="7"/>
  <c r="O104" i="7"/>
  <c r="I51" i="7"/>
  <c r="L165" i="7"/>
  <c r="O165" i="7" s="1"/>
  <c r="L166" i="7"/>
  <c r="O166" i="7" s="1"/>
  <c r="L167" i="7"/>
  <c r="N167" i="7" s="1"/>
  <c r="L168" i="7"/>
  <c r="O168" i="7" s="1"/>
  <c r="L169" i="7"/>
  <c r="O169" i="7" s="1"/>
  <c r="L170" i="7"/>
  <c r="O170" i="7" s="1"/>
  <c r="L171" i="7"/>
  <c r="N171" i="7" s="1"/>
  <c r="L172" i="7"/>
  <c r="O172" i="7" s="1"/>
  <c r="L40" i="7"/>
  <c r="O40" i="7" s="1"/>
  <c r="L41" i="7"/>
  <c r="O41" i="7" s="1"/>
  <c r="L42" i="7"/>
  <c r="N42" i="7" s="1"/>
  <c r="L43" i="7"/>
  <c r="O43" i="7" s="1"/>
  <c r="L44" i="7"/>
  <c r="O44" i="7" s="1"/>
  <c r="L45" i="7"/>
  <c r="O45" i="7" s="1"/>
  <c r="L46" i="7"/>
  <c r="N46" i="7" s="1"/>
  <c r="L64" i="7"/>
  <c r="N64" i="7" s="1"/>
  <c r="L65" i="7"/>
  <c r="O65" i="7" s="1"/>
  <c r="L67" i="7"/>
  <c r="M67" i="7" s="1"/>
  <c r="L68" i="7"/>
  <c r="M68" i="7" s="1"/>
  <c r="L69" i="7"/>
  <c r="M69" i="7" s="1"/>
  <c r="L71" i="7"/>
  <c r="O71" i="7" s="1"/>
  <c r="L74" i="7"/>
  <c r="M74" i="7" s="1"/>
  <c r="L75" i="7"/>
  <c r="M75" i="7" s="1"/>
  <c r="L79" i="7"/>
  <c r="M79" i="7" s="1"/>
  <c r="L80" i="7"/>
  <c r="O80" i="7" s="1"/>
  <c r="L81" i="7"/>
  <c r="M81" i="7" s="1"/>
  <c r="L82" i="7"/>
  <c r="M82" i="7" s="1"/>
  <c r="L83" i="7"/>
  <c r="M83" i="7" s="1"/>
  <c r="L84" i="7"/>
  <c r="O84" i="7" s="1"/>
  <c r="L86" i="7"/>
  <c r="M86" i="7" s="1"/>
  <c r="L87" i="7"/>
  <c r="M87" i="7" s="1"/>
  <c r="L88" i="7"/>
  <c r="M88" i="7" s="1"/>
  <c r="L89" i="7"/>
  <c r="O89" i="7" s="1"/>
  <c r="L90" i="7"/>
  <c r="M90" i="7" s="1"/>
  <c r="L91" i="7"/>
  <c r="M91" i="7" s="1"/>
  <c r="L92" i="7"/>
  <c r="M92" i="7" s="1"/>
  <c r="L93" i="7"/>
  <c r="O93" i="7" s="1"/>
  <c r="L173" i="7"/>
  <c r="N173" i="7" s="1"/>
  <c r="L174" i="7"/>
  <c r="N174" i="7" s="1"/>
  <c r="L175" i="7"/>
  <c r="N175" i="7" s="1"/>
  <c r="L176" i="7"/>
  <c r="N176" i="7" s="1"/>
  <c r="L177" i="7"/>
  <c r="N177" i="7" s="1"/>
  <c r="L138" i="7"/>
  <c r="M115" i="7"/>
  <c r="M113" i="7"/>
  <c r="M108" i="7"/>
  <c r="M106" i="7"/>
  <c r="M102" i="7"/>
  <c r="M100" i="7"/>
  <c r="M98" i="7"/>
  <c r="N98" i="7"/>
  <c r="M134" i="7"/>
  <c r="M132" i="7"/>
  <c r="M130" i="7"/>
  <c r="M128" i="7"/>
  <c r="M126" i="7"/>
  <c r="M124" i="7"/>
  <c r="M122" i="7"/>
  <c r="M120" i="7"/>
  <c r="M118" i="7"/>
  <c r="M116" i="7"/>
  <c r="M110" i="7"/>
  <c r="M104" i="7"/>
  <c r="L94" i="7"/>
  <c r="M94" i="7" s="1"/>
  <c r="F67" i="1"/>
  <c r="I95" i="7"/>
  <c r="L54" i="7"/>
  <c r="O54" i="7" s="1"/>
  <c r="L55" i="7"/>
  <c r="M55" i="7" s="1"/>
  <c r="L58" i="7"/>
  <c r="M58" i="7" s="1"/>
  <c r="L59" i="7"/>
  <c r="M59" i="7" s="1"/>
  <c r="L156" i="7"/>
  <c r="N156" i="7" s="1"/>
  <c r="L157" i="7"/>
  <c r="N157" i="7" s="1"/>
  <c r="L180" i="7"/>
  <c r="M180" i="7" s="1"/>
  <c r="N138" i="7"/>
  <c r="L140" i="7"/>
  <c r="O140" i="7" s="1"/>
  <c r="L141" i="7"/>
  <c r="O141" i="7" s="1"/>
  <c r="L142" i="7"/>
  <c r="O142" i="7" s="1"/>
  <c r="L143" i="7"/>
  <c r="O143" i="7" s="1"/>
  <c r="L144" i="7"/>
  <c r="O144" i="7" s="1"/>
  <c r="L158" i="7"/>
  <c r="N158" i="7" s="1"/>
  <c r="L178" i="7"/>
  <c r="O178" i="7" s="1"/>
  <c r="L155" i="7"/>
  <c r="O155" i="7" s="1"/>
  <c r="N140" i="7"/>
  <c r="N142" i="7"/>
  <c r="M142" i="7"/>
  <c r="N143" i="7"/>
  <c r="N144" i="7"/>
  <c r="M144" i="7"/>
  <c r="O156" i="7"/>
  <c r="N178" i="7"/>
  <c r="N145" i="7"/>
  <c r="O145" i="7"/>
  <c r="M145" i="7"/>
  <c r="N146" i="7"/>
  <c r="O146" i="7"/>
  <c r="M146" i="7"/>
  <c r="N147" i="7"/>
  <c r="O147" i="7"/>
  <c r="M147" i="7"/>
  <c r="N148" i="7"/>
  <c r="O148" i="7"/>
  <c r="M148" i="7"/>
  <c r="N149" i="7"/>
  <c r="O149" i="7"/>
  <c r="M149" i="7"/>
  <c r="N150" i="7"/>
  <c r="O150" i="7"/>
  <c r="M150" i="7"/>
  <c r="N151" i="7"/>
  <c r="O151" i="7"/>
  <c r="M151" i="7"/>
  <c r="N152" i="7"/>
  <c r="O152" i="7"/>
  <c r="M152" i="7"/>
  <c r="N153" i="7"/>
  <c r="O153" i="7"/>
  <c r="M153" i="7"/>
  <c r="N154" i="7"/>
  <c r="O154" i="7"/>
  <c r="M154" i="7"/>
  <c r="M155" i="7"/>
  <c r="N159" i="7"/>
  <c r="O159" i="7"/>
  <c r="M159" i="7"/>
  <c r="N160" i="7"/>
  <c r="O160" i="7"/>
  <c r="M160" i="7"/>
  <c r="N161" i="7"/>
  <c r="O161" i="7"/>
  <c r="M161" i="7"/>
  <c r="N162" i="7"/>
  <c r="O162" i="7"/>
  <c r="M162" i="7"/>
  <c r="N163" i="7"/>
  <c r="O163" i="7"/>
  <c r="M163" i="7"/>
  <c r="N164" i="7"/>
  <c r="O164" i="7"/>
  <c r="M164" i="7"/>
  <c r="N165" i="7"/>
  <c r="M165" i="7"/>
  <c r="N166" i="7"/>
  <c r="M166" i="7"/>
  <c r="O167" i="7"/>
  <c r="N168" i="7"/>
  <c r="M168" i="7"/>
  <c r="N169" i="7"/>
  <c r="M169" i="7"/>
  <c r="N170" i="7"/>
  <c r="M170" i="7"/>
  <c r="O171" i="7"/>
  <c r="N172" i="7"/>
  <c r="M172" i="7"/>
  <c r="O173" i="7"/>
  <c r="O174" i="7"/>
  <c r="O175" i="7"/>
  <c r="O176" i="7"/>
  <c r="O177" i="7"/>
  <c r="O179" i="7"/>
  <c r="M179" i="7"/>
  <c r="N179" i="7"/>
  <c r="O180" i="7"/>
  <c r="N180" i="7"/>
  <c r="K181" i="7"/>
  <c r="L47" i="7"/>
  <c r="O47" i="7" s="1"/>
  <c r="L48" i="7"/>
  <c r="N48" i="7" s="1"/>
  <c r="L49" i="7"/>
  <c r="O49" i="7" s="1"/>
  <c r="L50" i="7"/>
  <c r="N50" i="7" s="1"/>
  <c r="K95" i="7"/>
  <c r="L56" i="7"/>
  <c r="M56" i="7" s="1"/>
  <c r="L57" i="7"/>
  <c r="M57" i="7" s="1"/>
  <c r="L60" i="7"/>
  <c r="M60" i="7" s="1"/>
  <c r="L61" i="7"/>
  <c r="O61" i="7" s="1"/>
  <c r="L62" i="7"/>
  <c r="M62" i="7" s="1"/>
  <c r="L70" i="7"/>
  <c r="M70" i="7" s="1"/>
  <c r="L72" i="7"/>
  <c r="M72" i="7" s="1"/>
  <c r="L73" i="7"/>
  <c r="O73" i="7" s="1"/>
  <c r="L76" i="7"/>
  <c r="M76" i="7" s="1"/>
  <c r="L77" i="7"/>
  <c r="M77" i="7" s="1"/>
  <c r="L78" i="7"/>
  <c r="M78" i="7" s="1"/>
  <c r="L85" i="7"/>
  <c r="O85" i="7" s="1"/>
  <c r="L6" i="7"/>
  <c r="M6" i="7" s="1"/>
  <c r="O7" i="7"/>
  <c r="M7" i="7"/>
  <c r="N7" i="7"/>
  <c r="O8" i="7"/>
  <c r="M8" i="7"/>
  <c r="N8" i="7"/>
  <c r="O9" i="7"/>
  <c r="M9" i="7"/>
  <c r="N9" i="7"/>
  <c r="O10" i="7"/>
  <c r="M10" i="7"/>
  <c r="N10" i="7"/>
  <c r="O11" i="7"/>
  <c r="M11" i="7"/>
  <c r="N11" i="7"/>
  <c r="O12" i="7"/>
  <c r="M12" i="7"/>
  <c r="N12" i="7"/>
  <c r="O13" i="7"/>
  <c r="M13" i="7"/>
  <c r="N13" i="7"/>
  <c r="O6" i="7"/>
  <c r="N14" i="7"/>
  <c r="O14" i="7"/>
  <c r="M14" i="7"/>
  <c r="N15" i="7"/>
  <c r="O15" i="7"/>
  <c r="M15" i="7"/>
  <c r="N16" i="7"/>
  <c r="O16" i="7"/>
  <c r="M16" i="7"/>
  <c r="N17" i="7"/>
  <c r="O17" i="7"/>
  <c r="M17" i="7"/>
  <c r="N18" i="7"/>
  <c r="O18" i="7"/>
  <c r="M18" i="7"/>
  <c r="N19" i="7"/>
  <c r="O19" i="7"/>
  <c r="M19" i="7"/>
  <c r="N20" i="7"/>
  <c r="O20" i="7"/>
  <c r="M20" i="7"/>
  <c r="N21" i="7"/>
  <c r="O21" i="7"/>
  <c r="M21" i="7"/>
  <c r="N22" i="7"/>
  <c r="O22" i="7"/>
  <c r="M22" i="7"/>
  <c r="N23" i="7"/>
  <c r="O23" i="7"/>
  <c r="M23" i="7"/>
  <c r="N24" i="7"/>
  <c r="O24" i="7"/>
  <c r="M24" i="7"/>
  <c r="N25" i="7"/>
  <c r="O25" i="7"/>
  <c r="M25" i="7"/>
  <c r="N26" i="7"/>
  <c r="O26" i="7"/>
  <c r="M26" i="7"/>
  <c r="N27" i="7"/>
  <c r="O27" i="7"/>
  <c r="M27" i="7"/>
  <c r="N28" i="7"/>
  <c r="O28" i="7"/>
  <c r="M28" i="7"/>
  <c r="N29" i="7"/>
  <c r="O29" i="7"/>
  <c r="M29" i="7"/>
  <c r="N30" i="7"/>
  <c r="O30" i="7"/>
  <c r="M30" i="7"/>
  <c r="N31" i="7"/>
  <c r="O31" i="7"/>
  <c r="M31" i="7"/>
  <c r="N32" i="7"/>
  <c r="O32" i="7"/>
  <c r="M32" i="7"/>
  <c r="N33" i="7"/>
  <c r="O33" i="7"/>
  <c r="M33" i="7"/>
  <c r="N34" i="7"/>
  <c r="O34" i="7"/>
  <c r="M34" i="7"/>
  <c r="N35" i="7"/>
  <c r="O35" i="7"/>
  <c r="M35" i="7"/>
  <c r="N36" i="7"/>
  <c r="O36" i="7"/>
  <c r="M36" i="7"/>
  <c r="N37" i="7"/>
  <c r="O37" i="7"/>
  <c r="M37" i="7"/>
  <c r="N38" i="7"/>
  <c r="O38" i="7"/>
  <c r="M38" i="7"/>
  <c r="N39" i="7"/>
  <c r="O39" i="7"/>
  <c r="M39" i="7"/>
  <c r="N40" i="7"/>
  <c r="M40" i="7"/>
  <c r="N41" i="7"/>
  <c r="M41" i="7"/>
  <c r="O42" i="7"/>
  <c r="N43" i="7"/>
  <c r="M43" i="7"/>
  <c r="N44" i="7"/>
  <c r="M44" i="7"/>
  <c r="N45" i="7"/>
  <c r="M45" i="7"/>
  <c r="O46" i="7"/>
  <c r="N47" i="7"/>
  <c r="M47" i="7"/>
  <c r="O48" i="7"/>
  <c r="N49" i="7"/>
  <c r="M49" i="7"/>
  <c r="O50" i="7"/>
  <c r="O56" i="7"/>
  <c r="N56" i="7"/>
  <c r="O57" i="7"/>
  <c r="N57" i="7"/>
  <c r="O60" i="7"/>
  <c r="N60" i="7"/>
  <c r="M61" i="7"/>
  <c r="O62" i="7"/>
  <c r="N62" i="7"/>
  <c r="O70" i="7"/>
  <c r="N70" i="7"/>
  <c r="O72" i="7"/>
  <c r="N72" i="7"/>
  <c r="M73" i="7"/>
  <c r="O76" i="7"/>
  <c r="N76" i="7"/>
  <c r="O77" i="7"/>
  <c r="N77" i="7"/>
  <c r="O78" i="7"/>
  <c r="N78" i="7"/>
  <c r="M85" i="7"/>
  <c r="K51" i="7"/>
  <c r="M54" i="7"/>
  <c r="O55" i="7"/>
  <c r="N55" i="7"/>
  <c r="O58" i="7"/>
  <c r="N58" i="7"/>
  <c r="O59" i="7"/>
  <c r="N59" i="7"/>
  <c r="O64" i="7"/>
  <c r="N65" i="7"/>
  <c r="M65" i="7"/>
  <c r="O66" i="7"/>
  <c r="M66" i="7"/>
  <c r="N66" i="7"/>
  <c r="O67" i="7"/>
  <c r="N67" i="7"/>
  <c r="O68" i="7"/>
  <c r="N68" i="7"/>
  <c r="O69" i="7"/>
  <c r="N69" i="7"/>
  <c r="M71" i="7"/>
  <c r="O74" i="7"/>
  <c r="N74" i="7"/>
  <c r="O75" i="7"/>
  <c r="N75" i="7"/>
  <c r="O79" i="7"/>
  <c r="N79" i="7"/>
  <c r="M80" i="7"/>
  <c r="O81" i="7"/>
  <c r="N81" i="7"/>
  <c r="O82" i="7"/>
  <c r="N82" i="7"/>
  <c r="O83" i="7"/>
  <c r="N83" i="7"/>
  <c r="M84" i="7"/>
  <c r="O86" i="7"/>
  <c r="N86" i="7"/>
  <c r="O87" i="7"/>
  <c r="N87" i="7"/>
  <c r="O88" i="7"/>
  <c r="N88" i="7"/>
  <c r="M89" i="7"/>
  <c r="O90" i="7"/>
  <c r="N90" i="7"/>
  <c r="O91" i="7"/>
  <c r="N91" i="7"/>
  <c r="O92" i="7"/>
  <c r="N92" i="7"/>
  <c r="M93" i="7"/>
  <c r="O94" i="7"/>
  <c r="N94" i="7"/>
  <c r="L53" i="7"/>
  <c r="M63" i="7"/>
  <c r="O63" i="7"/>
  <c r="M138" i="7" l="1"/>
  <c r="M178" i="7"/>
  <c r="O138" i="7"/>
  <c r="N93" i="7"/>
  <c r="N89" i="7"/>
  <c r="N84" i="7"/>
  <c r="N80" i="7"/>
  <c r="N71" i="7"/>
  <c r="N54" i="7"/>
  <c r="N85" i="7"/>
  <c r="N73" i="7"/>
  <c r="N61" i="7"/>
  <c r="M46" i="7"/>
  <c r="M42" i="7"/>
  <c r="M176" i="7"/>
  <c r="M174" i="7"/>
  <c r="M171" i="7"/>
  <c r="M167" i="7"/>
  <c r="M156" i="7"/>
  <c r="M140" i="7"/>
  <c r="N6" i="7"/>
  <c r="N51" i="7" s="1"/>
  <c r="N155" i="7"/>
  <c r="O158" i="7"/>
  <c r="O181" i="7" s="1"/>
  <c r="O157" i="7"/>
  <c r="O51" i="7"/>
  <c r="L51" i="7"/>
  <c r="M64" i="7"/>
  <c r="M50" i="7"/>
  <c r="M48" i="7"/>
  <c r="M177" i="7"/>
  <c r="M175" i="7"/>
  <c r="M173" i="7"/>
  <c r="M157" i="7"/>
  <c r="M158" i="7"/>
  <c r="M143" i="7"/>
  <c r="L181" i="7"/>
  <c r="M141" i="7"/>
  <c r="N141" i="7"/>
  <c r="N181" i="7"/>
  <c r="L95" i="7"/>
  <c r="O53" i="7"/>
  <c r="O95" i="7" s="1"/>
  <c r="M53" i="7"/>
  <c r="N53" i="7"/>
  <c r="N95" i="7" s="1"/>
  <c r="D69" i="1"/>
  <c r="M95" i="7" l="1"/>
  <c r="M181" i="7"/>
  <c r="M51" i="7"/>
  <c r="D77" i="1"/>
  <c r="D71" i="1"/>
  <c r="D73" i="1"/>
  <c r="D72" i="1"/>
  <c r="L33" i="1" l="1"/>
  <c r="L75" i="1" l="1"/>
  <c r="E112" i="1" l="1"/>
  <c r="E106" i="1"/>
  <c r="E97" i="1"/>
  <c r="E75" i="1"/>
  <c r="E67" i="1"/>
  <c r="E33" i="1"/>
  <c r="E18" i="1"/>
  <c r="E113" i="1" l="1"/>
  <c r="H9" i="1"/>
  <c r="H12" i="1" s="1"/>
  <c r="H16" i="1"/>
  <c r="H15" i="1"/>
  <c r="H32" i="1"/>
  <c r="H31" i="1"/>
  <c r="H30" i="1"/>
  <c r="H29" i="1"/>
  <c r="H20" i="1"/>
  <c r="H35" i="1"/>
  <c r="H72" i="1"/>
  <c r="H69" i="1"/>
  <c r="H77" i="1"/>
  <c r="H108" i="1"/>
  <c r="J111" i="1"/>
  <c r="J71" i="1"/>
  <c r="F106" i="1" l="1"/>
  <c r="F97" i="1"/>
  <c r="F112" i="1"/>
  <c r="F75" i="1"/>
  <c r="F33" i="1"/>
  <c r="F18" i="1"/>
  <c r="F113" i="1" l="1"/>
  <c r="G75" i="1"/>
  <c r="I75" i="1"/>
  <c r="K75" i="1"/>
  <c r="B106" i="1" l="1"/>
  <c r="I106" i="1"/>
  <c r="J106" i="1"/>
  <c r="K106" i="1"/>
  <c r="L106" i="1"/>
  <c r="G106" i="1"/>
  <c r="D15" i="1" l="1"/>
  <c r="D16" i="1"/>
  <c r="D17" i="1"/>
  <c r="D108" i="1"/>
  <c r="D111" i="1"/>
  <c r="D99" i="1"/>
  <c r="D35" i="1"/>
  <c r="D20" i="1"/>
  <c r="D14" i="1"/>
  <c r="D67" i="1" l="1"/>
  <c r="D75" i="1"/>
  <c r="D97" i="1"/>
  <c r="D106" i="1"/>
  <c r="D33" i="1"/>
  <c r="D18" i="1"/>
  <c r="D112" i="1"/>
  <c r="D113" i="1" l="1"/>
  <c r="J18" i="1" l="1"/>
  <c r="I112" i="1" l="1"/>
  <c r="G112" i="1"/>
  <c r="H67" i="1" l="1"/>
  <c r="H75" i="1"/>
  <c r="J75" i="1"/>
  <c r="H106" i="1"/>
  <c r="H18" i="1"/>
  <c r="H112" i="1"/>
  <c r="J112" i="1"/>
  <c r="I97" i="1" l="1"/>
  <c r="J97" i="1"/>
  <c r="I67" i="1"/>
  <c r="J67" i="1"/>
  <c r="I33" i="1"/>
  <c r="J33" i="1"/>
  <c r="I18" i="1"/>
  <c r="B112" i="1"/>
  <c r="L18" i="1" l="1"/>
  <c r="K112" i="1" l="1"/>
  <c r="L112" i="1"/>
  <c r="K97" i="1"/>
  <c r="L97" i="1"/>
  <c r="G97" i="1"/>
  <c r="G33" i="1"/>
  <c r="G18" i="1"/>
  <c r="K18" i="1"/>
  <c r="K33" i="1"/>
  <c r="K67" i="1"/>
  <c r="L67" i="1"/>
  <c r="G67" i="1" l="1"/>
  <c r="H97" i="1" l="1"/>
  <c r="H33" i="1" l="1"/>
  <c r="L113" i="1" l="1"/>
  <c r="J113" i="1"/>
  <c r="K113" i="1"/>
  <c r="I113" i="1"/>
  <c r="G113" i="1"/>
  <c r="H113" i="1"/>
  <c r="B113" i="1"/>
</calcChain>
</file>

<file path=xl/sharedStrings.xml><?xml version="1.0" encoding="utf-8"?>
<sst xmlns="http://schemas.openxmlformats.org/spreadsheetml/2006/main" count="875" uniqueCount="313">
  <si>
    <t>№ п/п</t>
  </si>
  <si>
    <t>Адрес</t>
  </si>
  <si>
    <t>Сумма, руб.</t>
  </si>
  <si>
    <t>Октябрьский район</t>
  </si>
  <si>
    <t>Итого:</t>
  </si>
  <si>
    <t>Ленинский район</t>
  </si>
  <si>
    <t>мкр-н Сипайлово Октябрьского района</t>
  </si>
  <si>
    <t>Калининский район</t>
  </si>
  <si>
    <t>шт.</t>
  </si>
  <si>
    <t>Площадь, кв.м.</t>
  </si>
  <si>
    <t>Ср-ва Собственников</t>
  </si>
  <si>
    <t>Кировский район</t>
  </si>
  <si>
    <t>Дата проведения общественного собрания</t>
  </si>
  <si>
    <t>Демский район</t>
  </si>
  <si>
    <t>Советский район</t>
  </si>
  <si>
    <t>Орджоникидзевский район</t>
  </si>
  <si>
    <t>Всего по городу</t>
  </si>
  <si>
    <t>Количество домов</t>
  </si>
  <si>
    <t>ул. Российская, 167</t>
  </si>
  <si>
    <t>ул. Правды, 39/2</t>
  </si>
  <si>
    <t>Перенос опор</t>
  </si>
  <si>
    <t>Всего</t>
  </si>
  <si>
    <t>Количество детских площадок с резиновым покрытием</t>
  </si>
  <si>
    <t>Количество детских площадок с песком</t>
  </si>
  <si>
    <t>Количество спортивных площадок (х.коробки)</t>
  </si>
  <si>
    <t>Количество скамеек</t>
  </si>
  <si>
    <t>Количество урн</t>
  </si>
  <si>
    <t xml:space="preserve"> </t>
  </si>
  <si>
    <t>Новые опоры</t>
  </si>
  <si>
    <t xml:space="preserve">Количество турниковых комплексов </t>
  </si>
  <si>
    <t xml:space="preserve"> - в т.ч. без резинового покрытия</t>
  </si>
  <si>
    <t xml:space="preserve">Старая сумма по асфальту </t>
  </si>
  <si>
    <t>Разница</t>
  </si>
  <si>
    <t>Старая сумма по д.пл</t>
  </si>
  <si>
    <t>Средства  РБ</t>
  </si>
  <si>
    <t>Средства РФ</t>
  </si>
  <si>
    <t>Итого Sблаг</t>
  </si>
  <si>
    <t>В том числе:</t>
  </si>
  <si>
    <t>Опоры освещения</t>
  </si>
  <si>
    <t>Sблаг, м2</t>
  </si>
  <si>
    <t>Стоимость благоустройства придомовой территории МКД, руб.</t>
  </si>
  <si>
    <t>Ремонт асфальтового покрытия, парковочные уширения, устройство, обустройство тротуара, пешеходной дорожки</t>
  </si>
  <si>
    <t>Благоустраиваемая площадь придомовой территории МКД, кв.м.</t>
  </si>
  <si>
    <t>Установка детского игрового комплекса с резиновым покрытием, руб.</t>
  </si>
  <si>
    <t>Установка турникового комплекса, руб.</t>
  </si>
  <si>
    <t xml:space="preserve">Установка скамеек, руб.
</t>
  </si>
  <si>
    <t xml:space="preserve">Установка урн, руб.
</t>
  </si>
  <si>
    <t>Установка спортивной площадки, руб.</t>
  </si>
  <si>
    <t>ул. Уфимское шоссе, 18/2</t>
  </si>
  <si>
    <t>ул. Уфимское шоссе, 8/1</t>
  </si>
  <si>
    <t>ул. Уфимское шоссе, 8</t>
  </si>
  <si>
    <t>ул. Максима Рыльского, 9</t>
  </si>
  <si>
    <t>ул. Набережная реки Уфы, 61</t>
  </si>
  <si>
    <t>ул. Юрия Гагарина, 22</t>
  </si>
  <si>
    <t>ул. Юрия Гагарина, 50, 50/1, 50/2</t>
  </si>
  <si>
    <t>ул. Набережная реки Уфы, 39/1</t>
  </si>
  <si>
    <t>ул. Набережная реки Уфы, 39</t>
  </si>
  <si>
    <t>ул. Баязита Бикбая, 32</t>
  </si>
  <si>
    <t>ул. Набережная реки Уфы, 65</t>
  </si>
  <si>
    <t>ул. Баязита Бикбая, 26</t>
  </si>
  <si>
    <t>ул. Сипайловская, 10</t>
  </si>
  <si>
    <t>ул. Сипайловская, 12/1</t>
  </si>
  <si>
    <t>ул. Маршала Жукова, 11б</t>
  </si>
  <si>
    <t>ул. Маршала Жукова, 11а,11в,11г,11д</t>
  </si>
  <si>
    <t>ул. Юрия Гагарина, 13/1,13/2</t>
  </si>
  <si>
    <t>ул. Плаханова, 9/1</t>
  </si>
  <si>
    <t>ул. Касимовская, 10</t>
  </si>
  <si>
    <t>ул. Сельская, 8</t>
  </si>
  <si>
    <t xml:space="preserve">ул. Касимовская, 6 </t>
  </si>
  <si>
    <t>ул. Тухвата Янаби, 57, 59</t>
  </si>
  <si>
    <t>ул. Тухвата Янаби, 53, 53/2</t>
  </si>
  <si>
    <t>ул. Первомайская, 30а, ул. Шумавцова, 13</t>
  </si>
  <si>
    <t>ул. 40 лет Октября, 4а</t>
  </si>
  <si>
    <t>ул. Перовмайская, 32</t>
  </si>
  <si>
    <t>ул. Архитектурная, 2</t>
  </si>
  <si>
    <t>ул. Свободы, 24, Кольцевая, 128</t>
  </si>
  <si>
    <t>ул. Гончарова, 14, 16</t>
  </si>
  <si>
    <t>ул. Свободы, 18, ул. Черниковская, 14</t>
  </si>
  <si>
    <t>ул. Свободы, 14, 16</t>
  </si>
  <si>
    <t>ул. Первомайская, 68/2, 70/1</t>
  </si>
  <si>
    <t>ул. Кольцевая, 164/1</t>
  </si>
  <si>
    <t>ул. Кольцевая, 164</t>
  </si>
  <si>
    <t>ул. Кольцевая, 162</t>
  </si>
  <si>
    <t>ул. Машиностроителей, 14/1</t>
  </si>
  <si>
    <t>ул. Вострецова, 9/3</t>
  </si>
  <si>
    <t>ул. Плеханова, 9</t>
  </si>
  <si>
    <t>ул. Интернациональная, 73</t>
  </si>
  <si>
    <t>ул. Архитектурная, 8</t>
  </si>
  <si>
    <t>ул. Первомайская, 66/1, 68/1</t>
  </si>
  <si>
    <t>ул. Ферина, 5, 5/1</t>
  </si>
  <si>
    <t>ул..Ферина, 8, 8/1, 10, 10/1</t>
  </si>
  <si>
    <t>ул. Машиностроителей, 12, 14</t>
  </si>
  <si>
    <t xml:space="preserve">ул. Мечетлинская, 6, 6а, 4, 8  </t>
  </si>
  <si>
    <t>ул. Вологодская, 20, 20/1</t>
  </si>
  <si>
    <t>ул. Интернациональная, 151, 153, 155, 159</t>
  </si>
  <si>
    <t>ул. Касимовская, 6/1</t>
  </si>
  <si>
    <t>ул. Черниковская, 51</t>
  </si>
  <si>
    <t>ул. Касимовская, 14</t>
  </si>
  <si>
    <r>
      <t xml:space="preserve">ул. Адмирала  Ушакова,  </t>
    </r>
    <r>
      <rPr>
        <sz val="14"/>
        <color indexed="10"/>
        <rFont val="Times New Roman"/>
        <family val="1"/>
        <charset val="204"/>
      </rPr>
      <t>64/1</t>
    </r>
  </si>
  <si>
    <t>ул. Ирендык, 4/1, 4, ул. Судоремонтная, 27</t>
  </si>
  <si>
    <t xml:space="preserve"> переулок Запорожский, 7</t>
  </si>
  <si>
    <t>ул. Ахметова, 322, 324,  322а,  322/1</t>
  </si>
  <si>
    <t>ул. Гоголя, 55/1, 53а,  55а, ул. Аксакова, 58/1</t>
  </si>
  <si>
    <t>ул. Достоевского, 83</t>
  </si>
  <si>
    <t>Дуванский б-р, 28</t>
  </si>
  <si>
    <t>ул. Менделеева, 106</t>
  </si>
  <si>
    <t>ул. Менделеева, 108</t>
  </si>
  <si>
    <t>ул. Мубарякова, 12, 12/2, ул. Софьи Перовской, 21/5</t>
  </si>
  <si>
    <t>Дуванский б-р, 30</t>
  </si>
  <si>
    <t>ул. Октябрьской Революции, 72, 72/3</t>
  </si>
  <si>
    <t>ул. Коммунистическая, 65</t>
  </si>
  <si>
    <t>ул. Советская, 13/15</t>
  </si>
  <si>
    <t>ул. Мубарякова, 16, 18, 20</t>
  </si>
  <si>
    <t>ул. Октябрьской Революции, 9</t>
  </si>
  <si>
    <t>ул. Коммунистическая, 82</t>
  </si>
  <si>
    <t>Дуванский б-р, 22/1</t>
  </si>
  <si>
    <t>ул. Менделеева 122/1</t>
  </si>
  <si>
    <t>ул. Менделеева, 114/2</t>
  </si>
  <si>
    <t>ул. Коммунистическая, 84</t>
  </si>
  <si>
    <t>ул. Чернышевского, 101а</t>
  </si>
  <si>
    <t>ул. Чернышевского, 101</t>
  </si>
  <si>
    <t>ул. Ветошникова, 131</t>
  </si>
  <si>
    <t>ул. Советская, 21</t>
  </si>
  <si>
    <t>ул. Генерала Горбатова, 9/1</t>
  </si>
  <si>
    <t>ул. Кирова, 44, ул. Чернышевского, 125/1</t>
  </si>
  <si>
    <t>ул. Айская, 63, ул. Кирова, 91</t>
  </si>
  <si>
    <t>ул. Менделеева, 1, 5/1</t>
  </si>
  <si>
    <t>ул. Рабкоров, 12,14,16</t>
  </si>
  <si>
    <t>Дуванский б-р, 24/1</t>
  </si>
  <si>
    <t xml:space="preserve">ул. Степана Злобина, 34/1  </t>
  </si>
  <si>
    <t>ул. Ленина, 102, 104,  ул. Ивана Якутова, 3/5, 5</t>
  </si>
  <si>
    <t>ул. Братьев Кадомцевых, 11/1, пр-кт Октября, 37/5</t>
  </si>
  <si>
    <t>ул. Ленина, 150/2 и ул. Цюрупы, 153</t>
  </si>
  <si>
    <t>ул. Бакалинская, 60, 60/1, 60/2, 60/3, 62 и ул. Степана Злобина, 5/3</t>
  </si>
  <si>
    <t>ул. Степана Злобина, 5/1</t>
  </si>
  <si>
    <t>ул. Степана Халтурина, 46</t>
  </si>
  <si>
    <t>ул. Комсомольская, 27, 27/1</t>
  </si>
  <si>
    <t>ул. Степана Злобина, 20, 20/1</t>
  </si>
  <si>
    <t>ул. Достоевского, 107, 109</t>
  </si>
  <si>
    <t>ул. Айская, 68, 70, 72</t>
  </si>
  <si>
    <t>ул. Революционная, 167, 167а, 167/1</t>
  </si>
  <si>
    <t>ул. Степана Злобина, 28, 28/1, 28/2</t>
  </si>
  <si>
    <t>б-р Ибрагимова, 23/1</t>
  </si>
  <si>
    <t>ул. Миннигали Губайдуллина, 21/2</t>
  </si>
  <si>
    <t>ул. Кольцевая, 84, 86, 86а</t>
  </si>
  <si>
    <t>ул. Конституции, 9, 9а</t>
  </si>
  <si>
    <t>ул. Кольцевая, 185/1</t>
  </si>
  <si>
    <t>дата и время подачи заявки</t>
  </si>
  <si>
    <t>Управляющая организация</t>
  </si>
  <si>
    <t>Баллы</t>
  </si>
  <si>
    <t>Адрес МКД</t>
  </si>
  <si>
    <t>Кол-во МКД</t>
  </si>
  <si>
    <t>Ремонт асфальтового покрытия</t>
  </si>
  <si>
    <t>Обеспечение освещением</t>
  </si>
  <si>
    <t>Всего, тыс. руб.</t>
  </si>
  <si>
    <t>в том числе</t>
  </si>
  <si>
    <t>Благоустраиваемая площадь придомовой территории МКД, м2</t>
  </si>
  <si>
    <t>Сумма, тыс. руб.</t>
  </si>
  <si>
    <t>Опоры освещения, шт.</t>
  </si>
  <si>
    <t>Средства РБ</t>
  </si>
  <si>
    <t>Внебюджетные средства</t>
  </si>
  <si>
    <t>АО УЖХ Кировского района</t>
  </si>
  <si>
    <t xml:space="preserve">ОАО УЖХ Сипайловский </t>
  </si>
  <si>
    <t>АО УЖХ Октябрьского района</t>
  </si>
  <si>
    <t>ОАО УЖХ Советского района</t>
  </si>
  <si>
    <t>ООО ТЖХ Ленинского района</t>
  </si>
  <si>
    <t>ОАО УЖХ Орджоникидзевского района</t>
  </si>
  <si>
    <t>ОАО УЖХ Калининского района</t>
  </si>
  <si>
    <t>АО УЖХ Демского района</t>
  </si>
  <si>
    <r>
      <t xml:space="preserve">ул. Адмирала  Ушакова, 62, </t>
    </r>
    <r>
      <rPr>
        <sz val="12"/>
        <color indexed="10"/>
        <rFont val="Times New Roman"/>
        <family val="1"/>
        <charset val="204"/>
      </rPr>
      <t>64/1</t>
    </r>
  </si>
  <si>
    <t>7,7(7,7+7,7)</t>
  </si>
  <si>
    <t>ООО УК "Жилищник"</t>
  </si>
  <si>
    <t>7,7(7,7+7,7+7,7)</t>
  </si>
  <si>
    <t>ул. Ахметова, 316,  переулок Запорожский, 7</t>
  </si>
  <si>
    <t>ООО "ЖЭУ-49"</t>
  </si>
  <si>
    <t>ул. Кольцевая, 80, 80а, 82</t>
  </si>
  <si>
    <t>пр. Октября, 22/1, 24/1</t>
  </si>
  <si>
    <t>ИТОГО</t>
  </si>
  <si>
    <t>ул. Таллинская, 3/1</t>
  </si>
  <si>
    <t>ООО ЖЭК Капиталстрой</t>
  </si>
  <si>
    <t>6,9(8+7,7+4,7+7,2)</t>
  </si>
  <si>
    <t>ООО УК Универсал-Сервис</t>
  </si>
  <si>
    <t>ул. Строителей, 1а, 1б</t>
  </si>
  <si>
    <t>ул. Интернациональная, 149</t>
  </si>
  <si>
    <t>ул. Муссы Джалиля, 74/1</t>
  </si>
  <si>
    <t>ТСН "Советская Площадь"</t>
  </si>
  <si>
    <t>ул. Запотоцкого, 8</t>
  </si>
  <si>
    <t>ул. Авроры, 7/4</t>
  </si>
  <si>
    <t>ул. Аксакова, 62</t>
  </si>
  <si>
    <t>ул. Степана Кувыкина, 31</t>
  </si>
  <si>
    <t>ул. Левитана, 14/2</t>
  </si>
  <si>
    <t>ул. Левитана, 22/1(пренести на 2018 год</t>
  </si>
  <si>
    <t>5,95(7,7+4,2)</t>
  </si>
  <si>
    <t>5,7(6,5+6,2+6,2+4,2)</t>
  </si>
  <si>
    <t>пр-кт  Октября, 103</t>
  </si>
  <si>
    <t>ООО "ЖЭУ-54"</t>
  </si>
  <si>
    <t>ул. Абзелиловская, 1</t>
  </si>
  <si>
    <t>ООО УК Альтернатива</t>
  </si>
  <si>
    <t>ТСЖ "Содружество"</t>
  </si>
  <si>
    <t>4,85(5+4,7)</t>
  </si>
  <si>
    <t>ул. Достоевского, 60,ул.  Мустая Карима, 43, 45</t>
  </si>
  <si>
    <t>председатель НО ТСЖ "Ритм" Асадуллин Р.</t>
  </si>
  <si>
    <t>ул. Гвардейская, 44/2</t>
  </si>
  <si>
    <t xml:space="preserve">ОАО УЖХ Советского района </t>
  </si>
  <si>
    <t>ул. Миннигали Губайдуллина, 17, 17/1, 17/2, 19, 19/1</t>
  </si>
  <si>
    <t>пр-кт Октября, 37, 37/1, 37/2, 37/3</t>
  </si>
  <si>
    <t>ул. Братьев Кадомцевых, 5,7 ул. Рихарда Зорге, 24/2</t>
  </si>
  <si>
    <t>ул. Айская, 75, ул. Революционная, 173</t>
  </si>
  <si>
    <t>ул. Комсомольская, 21</t>
  </si>
  <si>
    <t>ул. 8 Марта, 32</t>
  </si>
  <si>
    <t>ул. Акназарова, 27</t>
  </si>
  <si>
    <t>ул. Кирова, 99/2, 99/3</t>
  </si>
  <si>
    <t>ул. Рихарда Зорге, 36/2, 38/1, 38/2, 38/3</t>
  </si>
  <si>
    <t>ул. Бехтерева, 8, 10/1, 10/2</t>
  </si>
  <si>
    <t>ул. Сазонова, 40а</t>
  </si>
  <si>
    <t>ул. Сочинская, 15/1</t>
  </si>
  <si>
    <t>2019 год</t>
  </si>
  <si>
    <t>2020год</t>
  </si>
  <si>
    <t>ул. Талинская, 3/1</t>
  </si>
  <si>
    <t>ППМИ</t>
  </si>
  <si>
    <t xml:space="preserve"> Перенос с 2018г.</t>
  </si>
  <si>
    <t>ул.Ахметова,316, переулок Запорожский,7</t>
  </si>
  <si>
    <t>ул. Кольцевая, 80, 80а,82</t>
  </si>
  <si>
    <t>сделан другой программой</t>
  </si>
  <si>
    <t>пр. Октября,22/1, 24/1</t>
  </si>
  <si>
    <t>ул. Строителей,1а,1б</t>
  </si>
  <si>
    <t>ул. Муссы Джалиля,74/1</t>
  </si>
  <si>
    <t>ул.  Запотоцкого,8</t>
  </si>
  <si>
    <t>Резерв</t>
  </si>
  <si>
    <t>Всего по городу с резервом</t>
  </si>
  <si>
    <t>2021 год</t>
  </si>
  <si>
    <r>
      <t xml:space="preserve">ул. Адмирала  Ушакова,  </t>
    </r>
    <r>
      <rPr>
        <sz val="14"/>
        <rFont val="Times New Roman"/>
        <family val="1"/>
        <charset val="204"/>
      </rPr>
      <t>64/1</t>
    </r>
  </si>
  <si>
    <t>ул. Мубарякова, 22/1,22</t>
  </si>
  <si>
    <t>Итого резерв:</t>
  </si>
  <si>
    <t>Ремонт асфальтового покрытия, парковочные уширения, устройство, обустройство тротуара, пешеходной дорожки (S*1300)</t>
  </si>
  <si>
    <t>Установка детского игрового комплекса с резиновым покрытием, руб.(1500)</t>
  </si>
  <si>
    <t>Установка турникового комплекса, руб.(1300)</t>
  </si>
  <si>
    <t>Установка спортивной площадки, руб.(3000)</t>
  </si>
  <si>
    <t>альтернатива</t>
  </si>
  <si>
    <r>
      <t xml:space="preserve">ул. Коммунистическая, 82- </t>
    </r>
    <r>
      <rPr>
        <sz val="14"/>
        <rFont val="Times New Roman"/>
        <family val="1"/>
        <charset val="204"/>
      </rPr>
      <t>отказ от программы</t>
    </r>
  </si>
  <si>
    <t>ул. Советская, 13/15 (ТСЖ)</t>
  </si>
  <si>
    <t>под вопросом адрес,есть письмо</t>
  </si>
  <si>
    <t xml:space="preserve"> не принято решение собственниками</t>
  </si>
  <si>
    <t>жители хотят отказаться</t>
  </si>
  <si>
    <t>отказ перенос на позднее время ф8,8/1</t>
  </si>
  <si>
    <r>
      <t>письмо от ОАО УЖХ по 60к2 и 60к3 о включении,</t>
    </r>
    <r>
      <rPr>
        <sz val="14"/>
        <color rgb="FFFF0000"/>
        <rFont val="Times New Roman"/>
        <family val="1"/>
        <charset val="204"/>
      </rPr>
      <t xml:space="preserve"> отказ на поздний срок Бак 60/1,60,62</t>
    </r>
  </si>
  <si>
    <t>пр.Октября д.7/1</t>
  </si>
  <si>
    <t>ул. Энгельса,5</t>
  </si>
  <si>
    <t>ул. Рабкоров, 2/3, 2/4,2/5</t>
  </si>
  <si>
    <t>перенос с 2018г</t>
  </si>
  <si>
    <t>Подпорная стена</t>
  </si>
  <si>
    <t>ул. Рабкоров, 14,16- обрушение облицовочных камней</t>
  </si>
  <si>
    <t>ул. Айская,63- необходима покраска</t>
  </si>
  <si>
    <t>Разрушение и расслоение облицовочного слоя из камня</t>
  </si>
  <si>
    <r>
      <t xml:space="preserve">ул..Ферина, </t>
    </r>
    <r>
      <rPr>
        <sz val="14"/>
        <rFont val="Times New Roman"/>
        <family val="1"/>
        <charset val="204"/>
      </rPr>
      <t>10, 10/1</t>
    </r>
  </si>
  <si>
    <t>ул. Менделеева 122/1, 120,122</t>
  </si>
  <si>
    <t>ул. Менделеева, 1, 5/1, 7/1</t>
  </si>
  <si>
    <t xml:space="preserve">ул. Менделеева, 106,108 </t>
  </si>
  <si>
    <r>
      <rPr>
        <sz val="14"/>
        <rFont val="Times New Roman"/>
        <family val="1"/>
        <charset val="204"/>
      </rPr>
      <t>ул. Бакалинская,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60/2(парковка,тротуар, отмостка и проезд ), 60/3(парковка,тротуар),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ул. Степана Злобина, 5/3 и 5/1</t>
    </r>
  </si>
  <si>
    <r>
      <t>ул. Касимовская, 14,</t>
    </r>
    <r>
      <rPr>
        <sz val="14"/>
        <color theme="1"/>
        <rFont val="Times New Roman"/>
        <family val="1"/>
        <charset val="204"/>
      </rPr>
      <t xml:space="preserve"> 14/1</t>
    </r>
    <r>
      <rPr>
        <sz val="14"/>
        <color indexed="8"/>
        <rFont val="Times New Roman"/>
        <family val="1"/>
        <charset val="204"/>
      </rPr>
      <t xml:space="preserve"> </t>
    </r>
  </si>
  <si>
    <t>пр-кт Октября, 37/3</t>
  </si>
  <si>
    <t xml:space="preserve">ул. Братьев Кадомцевых, 5,7  </t>
  </si>
  <si>
    <t>ул. Плеханова, 9/1</t>
  </si>
  <si>
    <r>
      <t xml:space="preserve">ул..Ферина 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10, 10/1</t>
    </r>
  </si>
  <si>
    <r>
      <t>ул. Касимовская, 10,</t>
    </r>
    <r>
      <rPr>
        <sz val="14"/>
        <rFont val="Times New Roman"/>
        <family val="1"/>
        <charset val="204"/>
      </rPr>
      <t>10/1</t>
    </r>
  </si>
  <si>
    <t xml:space="preserve">ул. Ленина,150/1, 150/2 </t>
  </si>
  <si>
    <t>ул. Касимовская, 14, 14/1</t>
  </si>
  <si>
    <t>Урны</t>
  </si>
  <si>
    <t>Скамейки</t>
  </si>
  <si>
    <t xml:space="preserve">№ </t>
  </si>
  <si>
    <t>Район</t>
  </si>
  <si>
    <t xml:space="preserve">Количество  </t>
  </si>
  <si>
    <t>опор</t>
  </si>
  <si>
    <t>(шт)</t>
  </si>
  <si>
    <t xml:space="preserve">Демский </t>
  </si>
  <si>
    <t>Ленинский</t>
  </si>
  <si>
    <t>Кировский</t>
  </si>
  <si>
    <t>Советский</t>
  </si>
  <si>
    <t>Октябрьский</t>
  </si>
  <si>
    <t>Сипайлово</t>
  </si>
  <si>
    <t>Орджоникидзевский</t>
  </si>
  <si>
    <t>Калининский</t>
  </si>
  <si>
    <t>ИТОГО:</t>
  </si>
  <si>
    <t>Дворы</t>
  </si>
  <si>
    <t>МКД</t>
  </si>
  <si>
    <t>ДИК</t>
  </si>
  <si>
    <t>Хоккейая коробка</t>
  </si>
  <si>
    <t xml:space="preserve">Всего по плану </t>
  </si>
  <si>
    <t xml:space="preserve"> Сумма ( тыс. руб.)</t>
  </si>
  <si>
    <t>ул. Рабкоров, 12,14,16,ул.Мубарякова 13</t>
  </si>
  <si>
    <t>ул. Степана Злобина,  28/1, 28/2</t>
  </si>
  <si>
    <t>ИНФОРМАЦИЯ</t>
  </si>
  <si>
    <t>по муниципальной подпрограмме "Башкирские дворики"</t>
  </si>
  <si>
    <t>ул. Первомайская, 32</t>
  </si>
  <si>
    <t xml:space="preserve">ул. Сельская, 8  </t>
  </si>
  <si>
    <t>Озеленение</t>
  </si>
  <si>
    <t>ул. Бакалинская 60/2, 60/3, ул. Степана Злобина, 5/3 , 5/1</t>
  </si>
  <si>
    <t xml:space="preserve">                                                                    по муниципальной подпрограмме "Башкирские дворики"</t>
  </si>
  <si>
    <t>Подрядчик</t>
  </si>
  <si>
    <t>%</t>
  </si>
  <si>
    <t>закончено дворов</t>
  </si>
  <si>
    <t>перенесены опоры</t>
  </si>
  <si>
    <t>не начато</t>
  </si>
  <si>
    <t>в том числе:</t>
  </si>
  <si>
    <t>Выполнение в % от общего числа</t>
  </si>
  <si>
    <t>ООО "Комстрой"</t>
  </si>
  <si>
    <t>ООО "Магистраль"</t>
  </si>
  <si>
    <t>ООО "АрмСтрой"</t>
  </si>
  <si>
    <t>ООО "ГрандТрейдОйл"/ ООО "Магистраль"</t>
  </si>
  <si>
    <t>ООО "УралАгроТехСервис"</t>
  </si>
  <si>
    <t>в работе дворов</t>
  </si>
  <si>
    <t>23.05.2019г.</t>
  </si>
  <si>
    <t>Перечень адресов, вошедших  в программу "Башкирские дворики"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</si>
</sst>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_р_._-;\-* #,##0.00_р_._-;_-* &quot;-&quot;??_р_._-;_-@_-"/>
    <numFmt numFmtId="165" formatCode="_(* #,##0.00_);_(* \(#,##0.00\);_(* &quot;-&quot;??_);_(@_)"/>
    <numFmt numFmtId="166" formatCode="#,##0.00&quot; &quot;[$руб.-419];[Red]&quot;-&quot;#,##0.00&quot; &quot;[$руб.-419]"/>
    <numFmt numFmtId="167" formatCode="#,##0.00000"/>
    <numFmt numFmtId="168" formatCode="#,##0.000_р_."/>
    <numFmt numFmtId="169" formatCode="0.0"/>
    <numFmt numFmtId="170" formatCode="0.000"/>
    <numFmt numFmtId="171" formatCode="h:mm;@"/>
    <numFmt numFmtId="172" formatCode="#,##0.0_р_."/>
    <numFmt numFmtId="173" formatCode="#,##0_р_."/>
    <numFmt numFmtId="174" formatCode="#,##0.00_р_.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rgb="FF000000"/>
      <name val="Arial1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6" fillId="0" borderId="0"/>
    <xf numFmtId="165" fontId="8" fillId="0" borderId="0" applyBorder="0" applyProtection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6" fontId="10" fillId="0" borderId="0"/>
    <xf numFmtId="0" fontId="1" fillId="0" borderId="0"/>
    <xf numFmtId="0" fontId="1" fillId="0" borderId="0"/>
    <xf numFmtId="0" fontId="11" fillId="0" borderId="0"/>
    <xf numFmtId="165" fontId="2" fillId="0" borderId="0" applyFont="0" applyFill="0" applyBorder="0" applyAlignment="0" applyProtection="0"/>
    <xf numFmtId="0" fontId="12" fillId="0" borderId="0"/>
    <xf numFmtId="0" fontId="4" fillId="0" borderId="0"/>
    <xf numFmtId="164" fontId="1" fillId="0" borderId="0" applyFont="0" applyFill="0" applyBorder="0" applyAlignment="0" applyProtection="0"/>
  </cellStyleXfs>
  <cellXfs count="472">
    <xf numFmtId="0" fontId="0" fillId="0" borderId="0" xfId="0"/>
    <xf numFmtId="3" fontId="13" fillId="0" borderId="1" xfId="5" applyNumberFormat="1" applyFont="1" applyFill="1" applyBorder="1" applyAlignment="1">
      <alignment horizontal="center" vertical="center"/>
    </xf>
    <xf numFmtId="14" fontId="14" fillId="0" borderId="1" xfId="5" applyNumberFormat="1" applyFont="1" applyFill="1" applyBorder="1" applyAlignment="1">
      <alignment horizontal="center" vertical="center"/>
    </xf>
    <xf numFmtId="3" fontId="13" fillId="3" borderId="1" xfId="5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14" fontId="14" fillId="0" borderId="1" xfId="5" applyNumberFormat="1" applyFont="1" applyFill="1" applyBorder="1" applyAlignment="1">
      <alignment horizontal="center" vertical="top" wrapText="1"/>
    </xf>
    <xf numFmtId="3" fontId="15" fillId="2" borderId="1" xfId="5" applyNumberFormat="1" applyFont="1" applyFill="1" applyBorder="1" applyAlignment="1" applyProtection="1">
      <alignment horizontal="center" vertical="center"/>
      <protection locked="0"/>
    </xf>
    <xf numFmtId="3" fontId="14" fillId="2" borderId="1" xfId="5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>
      <alignment horizontal="center" vertical="center"/>
    </xf>
    <xf numFmtId="0" fontId="13" fillId="3" borderId="1" xfId="5" applyFont="1" applyFill="1" applyBorder="1" applyAlignment="1">
      <alignment horizontal="left" vertical="center" wrapText="1"/>
    </xf>
    <xf numFmtId="0" fontId="13" fillId="3" borderId="1" xfId="5" applyFont="1" applyFill="1" applyBorder="1" applyAlignment="1">
      <alignment horizontal="center" vertical="center" wrapText="1"/>
    </xf>
    <xf numFmtId="4" fontId="13" fillId="0" borderId="0" xfId="5" applyNumberFormat="1" applyFont="1" applyFill="1" applyBorder="1" applyAlignment="1">
      <alignment vertical="center"/>
    </xf>
    <xf numFmtId="4" fontId="19" fillId="0" borderId="0" xfId="5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/>
    </xf>
    <xf numFmtId="3" fontId="14" fillId="2" borderId="1" xfId="5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3" fillId="2" borderId="1" xfId="5" applyFont="1" applyFill="1" applyBorder="1" applyAlignment="1">
      <alignment horizontal="left" vertical="center" wrapText="1"/>
    </xf>
    <xf numFmtId="0" fontId="13" fillId="2" borderId="1" xfId="5" applyFont="1" applyFill="1" applyBorder="1" applyAlignment="1">
      <alignment horizontal="center" vertical="center" wrapText="1"/>
    </xf>
    <xf numFmtId="3" fontId="13" fillId="2" borderId="1" xfId="5" applyNumberFormat="1" applyFont="1" applyFill="1" applyBorder="1" applyAlignment="1">
      <alignment horizontal="center" vertical="center"/>
    </xf>
    <xf numFmtId="4" fontId="13" fillId="2" borderId="1" xfId="5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/>
    <xf numFmtId="0" fontId="20" fillId="0" borderId="1" xfId="0" applyFont="1" applyBorder="1" applyAlignment="1">
      <alignment horizontal="center" vertical="center"/>
    </xf>
    <xf numFmtId="3" fontId="15" fillId="0" borderId="1" xfId="5" applyNumberFormat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>
      <alignment horizontal="center" vertical="center" wrapText="1"/>
    </xf>
    <xf numFmtId="3" fontId="14" fillId="0" borderId="1" xfId="13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1" xfId="5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6" fillId="0" borderId="1" xfId="0" applyFont="1" applyBorder="1"/>
    <xf numFmtId="0" fontId="17" fillId="0" borderId="1" xfId="0" applyFont="1" applyFill="1" applyBorder="1"/>
    <xf numFmtId="0" fontId="16" fillId="0" borderId="1" xfId="0" applyFont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3" fontId="17" fillId="2" borderId="1" xfId="5" applyNumberFormat="1" applyFont="1" applyFill="1" applyBorder="1" applyAlignment="1">
      <alignment horizontal="center" vertical="center"/>
    </xf>
    <xf numFmtId="3" fontId="15" fillId="2" borderId="1" xfId="13" applyNumberFormat="1" applyFont="1" applyFill="1" applyBorder="1" applyAlignment="1" applyProtection="1">
      <alignment horizontal="center" vertical="center"/>
      <protection locked="0"/>
    </xf>
    <xf numFmtId="3" fontId="15" fillId="2" borderId="7" xfId="6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14" fillId="0" borderId="1" xfId="5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left"/>
    </xf>
    <xf numFmtId="0" fontId="20" fillId="0" borderId="6" xfId="0" applyFont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3" fontId="15" fillId="0" borderId="1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3" fontId="16" fillId="2" borderId="1" xfId="0" applyNumberFormat="1" applyFont="1" applyFill="1" applyBorder="1"/>
    <xf numFmtId="3" fontId="14" fillId="2" borderId="1" xfId="0" applyNumberFormat="1" applyFont="1" applyFill="1" applyBorder="1"/>
    <xf numFmtId="3" fontId="16" fillId="2" borderId="1" xfId="0" applyNumberFormat="1" applyFont="1" applyFill="1" applyBorder="1" applyAlignment="1">
      <alignment vertical="center"/>
    </xf>
    <xf numFmtId="3" fontId="15" fillId="0" borderId="12" xfId="17" applyNumberFormat="1" applyFont="1" applyFill="1" applyBorder="1" applyAlignment="1">
      <alignment horizontal="center" vertical="center" wrapText="1"/>
    </xf>
    <xf numFmtId="3" fontId="15" fillId="0" borderId="1" xfId="17" applyNumberFormat="1" applyFont="1" applyFill="1" applyBorder="1" applyAlignment="1">
      <alignment horizontal="center" vertical="center" wrapText="1"/>
    </xf>
    <xf numFmtId="3" fontId="15" fillId="0" borderId="9" xfId="17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20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3" fontId="16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right"/>
    </xf>
    <xf numFmtId="4" fontId="13" fillId="3" borderId="1" xfId="5" applyNumberFormat="1" applyFont="1" applyFill="1" applyBorder="1" applyAlignment="1">
      <alignment horizontal="center" vertical="center"/>
    </xf>
    <xf numFmtId="167" fontId="14" fillId="0" borderId="0" xfId="0" applyNumberFormat="1" applyFont="1" applyAlignment="1">
      <alignment horizontal="right"/>
    </xf>
    <xf numFmtId="4" fontId="13" fillId="0" borderId="1" xfId="5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/>
    <xf numFmtId="4" fontId="14" fillId="2" borderId="1" xfId="5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/>
    <xf numFmtId="4" fontId="16" fillId="2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4" fontId="15" fillId="2" borderId="1" xfId="5" applyNumberFormat="1" applyFont="1" applyFill="1" applyBorder="1" applyAlignment="1" applyProtection="1">
      <alignment horizontal="center" vertical="center"/>
      <protection locked="0"/>
    </xf>
    <xf numFmtId="4" fontId="14" fillId="2" borderId="1" xfId="5" applyNumberFormat="1" applyFont="1" applyFill="1" applyBorder="1" applyAlignment="1" applyProtection="1">
      <alignment horizontal="center" vertical="center"/>
      <protection locked="0"/>
    </xf>
    <xf numFmtId="3" fontId="16" fillId="0" borderId="0" xfId="0" applyNumberFormat="1" applyFont="1" applyFill="1"/>
    <xf numFmtId="4" fontId="15" fillId="2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horizontal="center"/>
    </xf>
    <xf numFmtId="2" fontId="14" fillId="0" borderId="1" xfId="0" applyNumberFormat="1" applyFont="1" applyBorder="1" applyAlignment="1">
      <alignment horizontal="right"/>
    </xf>
    <xf numFmtId="4" fontId="23" fillId="5" borderId="1" xfId="0" applyNumberFormat="1" applyFont="1" applyFill="1" applyBorder="1"/>
    <xf numFmtId="2" fontId="13" fillId="3" borderId="1" xfId="5" applyNumberFormat="1" applyFont="1" applyFill="1" applyBorder="1" applyAlignment="1">
      <alignment horizontal="center" vertical="center"/>
    </xf>
    <xf numFmtId="0" fontId="14" fillId="2" borderId="1" xfId="5" applyFont="1" applyFill="1" applyBorder="1" applyAlignment="1">
      <alignment horizontal="left" wrapText="1"/>
    </xf>
    <xf numFmtId="3" fontId="14" fillId="2" borderId="1" xfId="0" applyNumberFormat="1" applyFont="1" applyFill="1" applyBorder="1" applyAlignment="1">
      <alignment vertical="center" wrapText="1"/>
    </xf>
    <xf numFmtId="2" fontId="15" fillId="2" borderId="1" xfId="0" applyNumberFormat="1" applyFont="1" applyFill="1" applyBorder="1" applyAlignment="1">
      <alignment vertical="center" wrapText="1"/>
    </xf>
    <xf numFmtId="14" fontId="14" fillId="2" borderId="1" xfId="5" applyNumberFormat="1" applyFont="1" applyFill="1" applyBorder="1" applyAlignment="1">
      <alignment horizontal="center" vertical="center"/>
    </xf>
    <xf numFmtId="2" fontId="13" fillId="2" borderId="1" xfId="5" applyNumberFormat="1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/>
    </xf>
    <xf numFmtId="4" fontId="15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168" fontId="5" fillId="2" borderId="1" xfId="0" applyNumberFormat="1" applyFont="1" applyFill="1" applyBorder="1" applyAlignment="1"/>
    <xf numFmtId="169" fontId="5" fillId="2" borderId="1" xfId="0" applyNumberFormat="1" applyFont="1" applyFill="1" applyBorder="1" applyAlignment="1"/>
    <xf numFmtId="170" fontId="5" fillId="2" borderId="1" xfId="0" applyNumberFormat="1" applyFont="1" applyFill="1" applyBorder="1" applyAlignment="1"/>
    <xf numFmtId="1" fontId="15" fillId="2" borderId="1" xfId="0" applyNumberFormat="1" applyFont="1" applyFill="1" applyBorder="1" applyAlignment="1"/>
    <xf numFmtId="168" fontId="15" fillId="2" borderId="1" xfId="0" applyNumberFormat="1" applyFont="1" applyFill="1" applyBorder="1" applyAlignment="1"/>
    <xf numFmtId="169" fontId="15" fillId="2" borderId="1" xfId="0" applyNumberFormat="1" applyFont="1" applyFill="1" applyBorder="1" applyAlignment="1"/>
    <xf numFmtId="170" fontId="1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2" fontId="5" fillId="2" borderId="1" xfId="0" applyNumberFormat="1" applyFont="1" applyFill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/>
    </xf>
    <xf numFmtId="169" fontId="5" fillId="2" borderId="1" xfId="1" applyNumberFormat="1" applyFont="1" applyFill="1" applyBorder="1" applyAlignment="1"/>
    <xf numFmtId="0" fontId="5" fillId="2" borderId="1" xfId="1" applyFont="1" applyFill="1" applyBorder="1" applyAlignment="1"/>
    <xf numFmtId="1" fontId="5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5" fillId="2" borderId="1" xfId="0" applyNumberFormat="1" applyFont="1" applyFill="1" applyBorder="1" applyAlignment="1"/>
    <xf numFmtId="1" fontId="5" fillId="2" borderId="1" xfId="18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9" fontId="15" fillId="2" borderId="1" xfId="18" applyNumberFormat="1" applyFont="1" applyFill="1" applyBorder="1" applyAlignment="1"/>
    <xf numFmtId="169" fontId="15" fillId="2" borderId="1" xfId="18" applyNumberFormat="1" applyFont="1" applyFill="1" applyBorder="1" applyAlignment="1">
      <alignment horizontal="right"/>
    </xf>
    <xf numFmtId="0" fontId="7" fillId="2" borderId="1" xfId="5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center" wrapText="1"/>
    </xf>
    <xf numFmtId="169" fontId="15" fillId="2" borderId="1" xfId="1" applyNumberFormat="1" applyFont="1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18" xfId="0" applyFill="1" applyBorder="1"/>
    <xf numFmtId="0" fontId="5" fillId="2" borderId="20" xfId="0" applyFont="1" applyFill="1" applyBorder="1" applyAlignment="1">
      <alignment horizontal="center" vertical="center" wrapText="1"/>
    </xf>
    <xf numFmtId="0" fontId="0" fillId="2" borderId="27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 wrapText="1"/>
    </xf>
    <xf numFmtId="0" fontId="5" fillId="2" borderId="32" xfId="1" applyFont="1" applyFill="1" applyBorder="1" applyAlignment="1">
      <alignment horizontal="center" wrapText="1"/>
    </xf>
    <xf numFmtId="0" fontId="0" fillId="2" borderId="33" xfId="0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71" fontId="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1" fontId="5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5" fillId="2" borderId="1" xfId="0" applyFont="1" applyFill="1" applyBorder="1" applyAlignment="1"/>
    <xf numFmtId="168" fontId="25" fillId="2" borderId="1" xfId="0" applyNumberFormat="1" applyFont="1" applyFill="1" applyBorder="1" applyAlignment="1"/>
    <xf numFmtId="0" fontId="7" fillId="2" borderId="1" xfId="5" applyFont="1" applyFill="1" applyBorder="1" applyAlignment="1">
      <alignment horizontal="left" wrapText="1"/>
    </xf>
    <xf numFmtId="172" fontId="25" fillId="2" borderId="1" xfId="0" applyNumberFormat="1" applyFont="1" applyFill="1" applyBorder="1" applyAlignment="1"/>
    <xf numFmtId="169" fontId="5" fillId="2" borderId="1" xfId="18" applyNumberFormat="1" applyFont="1" applyFill="1" applyBorder="1" applyAlignment="1"/>
    <xf numFmtId="0" fontId="5" fillId="4" borderId="1" xfId="0" applyFont="1" applyFill="1" applyBorder="1" applyAlignment="1">
      <alignment horizontal="center" vertical="center"/>
    </xf>
    <xf numFmtId="20" fontId="5" fillId="4" borderId="1" xfId="0" applyNumberFormat="1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5" fillId="4" borderId="1" xfId="1" applyFont="1" applyFill="1" applyBorder="1" applyAlignment="1"/>
    <xf numFmtId="170" fontId="5" fillId="4" borderId="1" xfId="0" applyNumberFormat="1" applyFont="1" applyFill="1" applyBorder="1" applyAlignment="1"/>
    <xf numFmtId="0" fontId="5" fillId="4" borderId="1" xfId="0" applyFont="1" applyFill="1" applyBorder="1" applyAlignment="1"/>
    <xf numFmtId="168" fontId="5" fillId="4" borderId="1" xfId="0" applyNumberFormat="1" applyFont="1" applyFill="1" applyBorder="1" applyAlignment="1"/>
    <xf numFmtId="14" fontId="5" fillId="4" borderId="1" xfId="0" applyNumberFormat="1" applyFont="1" applyFill="1" applyBorder="1" applyAlignment="1">
      <alignment horizontal="center" vertical="center"/>
    </xf>
    <xf numFmtId="171" fontId="5" fillId="4" borderId="1" xfId="0" applyNumberFormat="1" applyFont="1" applyFill="1" applyBorder="1" applyAlignment="1">
      <alignment horizontal="center" vertical="center"/>
    </xf>
    <xf numFmtId="169" fontId="5" fillId="4" borderId="1" xfId="18" applyNumberFormat="1" applyFont="1" applyFill="1" applyBorder="1" applyAlignment="1"/>
    <xf numFmtId="1" fontId="5" fillId="4" borderId="1" xfId="0" applyNumberFormat="1" applyFont="1" applyFill="1" applyBorder="1" applyAlignment="1"/>
    <xf numFmtId="0" fontId="5" fillId="4" borderId="1" xfId="1" applyFont="1" applyFill="1" applyBorder="1" applyAlignment="1">
      <alignment horizontal="center" vertical="center" wrapText="1"/>
    </xf>
    <xf numFmtId="0" fontId="7" fillId="4" borderId="1" xfId="5" applyFont="1" applyFill="1" applyBorder="1" applyAlignment="1">
      <alignment horizontal="left" wrapText="1"/>
    </xf>
    <xf numFmtId="0" fontId="7" fillId="4" borderId="1" xfId="5" applyFont="1" applyFill="1" applyBorder="1" applyAlignment="1">
      <alignment horizontal="left" vertical="center" wrapText="1"/>
    </xf>
    <xf numFmtId="169" fontId="5" fillId="4" borderId="1" xfId="0" applyNumberFormat="1" applyFont="1" applyFill="1" applyBorder="1" applyAlignment="1"/>
    <xf numFmtId="1" fontId="7" fillId="2" borderId="1" xfId="0" applyNumberFormat="1" applyFont="1" applyFill="1" applyBorder="1" applyAlignment="1"/>
    <xf numFmtId="169" fontId="5" fillId="4" borderId="1" xfId="1" applyNumberFormat="1" applyFont="1" applyFill="1" applyBorder="1" applyAlignment="1"/>
    <xf numFmtId="173" fontId="25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169" fontId="5" fillId="2" borderId="1" xfId="18" applyNumberFormat="1" applyFont="1" applyFill="1" applyBorder="1" applyAlignment="1">
      <alignment horizontal="right"/>
    </xf>
    <xf numFmtId="0" fontId="26" fillId="4" borderId="1" xfId="0" applyFont="1" applyFill="1" applyBorder="1"/>
    <xf numFmtId="168" fontId="26" fillId="4" borderId="1" xfId="0" applyNumberFormat="1" applyFont="1" applyFill="1" applyBorder="1"/>
    <xf numFmtId="173" fontId="25" fillId="2" borderId="1" xfId="0" applyNumberFormat="1" applyFont="1" applyFill="1" applyBorder="1" applyAlignment="1">
      <alignment horizontal="right"/>
    </xf>
    <xf numFmtId="168" fontId="25" fillId="2" borderId="1" xfId="0" applyNumberFormat="1" applyFont="1" applyFill="1" applyBorder="1" applyAlignment="1">
      <alignment horizontal="right"/>
    </xf>
    <xf numFmtId="0" fontId="5" fillId="2" borderId="36" xfId="1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2" borderId="11" xfId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3" fontId="16" fillId="2" borderId="0" xfId="0" applyNumberFormat="1" applyFont="1" applyFill="1" applyAlignment="1">
      <alignment horizontal="center"/>
    </xf>
    <xf numFmtId="3" fontId="16" fillId="2" borderId="0" xfId="0" applyNumberFormat="1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vertical="center"/>
    </xf>
    <xf numFmtId="0" fontId="16" fillId="6" borderId="0" xfId="0" applyFont="1" applyFill="1"/>
    <xf numFmtId="0" fontId="16" fillId="7" borderId="0" xfId="0" applyFont="1" applyFill="1"/>
    <xf numFmtId="0" fontId="16" fillId="7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5" applyFont="1" applyFill="1" applyBorder="1" applyAlignment="1">
      <alignment horizontal="left" wrapText="1"/>
    </xf>
    <xf numFmtId="3" fontId="14" fillId="4" borderId="1" xfId="0" applyNumberFormat="1" applyFont="1" applyFill="1" applyBorder="1" applyAlignment="1">
      <alignment horizontal="center" vertical="center" wrapText="1"/>
    </xf>
    <xf numFmtId="4" fontId="14" fillId="4" borderId="1" xfId="5" applyNumberFormat="1" applyFont="1" applyFill="1" applyBorder="1" applyAlignment="1">
      <alignment horizontal="center" vertical="center"/>
    </xf>
    <xf numFmtId="3" fontId="14" fillId="4" borderId="1" xfId="5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vertical="center" wrapText="1"/>
    </xf>
    <xf numFmtId="2" fontId="15" fillId="4" borderId="1" xfId="0" applyNumberFormat="1" applyFont="1" applyFill="1" applyBorder="1" applyAlignment="1">
      <alignment vertical="center" wrapText="1"/>
    </xf>
    <xf numFmtId="3" fontId="16" fillId="4" borderId="1" xfId="0" applyNumberFormat="1" applyFont="1" applyFill="1" applyBorder="1"/>
    <xf numFmtId="4" fontId="15" fillId="4" borderId="1" xfId="0" applyNumberFormat="1" applyFont="1" applyFill="1" applyBorder="1" applyAlignment="1">
      <alignment horizontal="center"/>
    </xf>
    <xf numFmtId="4" fontId="16" fillId="4" borderId="1" xfId="0" applyNumberFormat="1" applyFont="1" applyFill="1" applyBorder="1"/>
    <xf numFmtId="3" fontId="16" fillId="4" borderId="1" xfId="0" applyNumberFormat="1" applyFont="1" applyFill="1" applyBorder="1" applyAlignment="1">
      <alignment horizontal="center"/>
    </xf>
    <xf numFmtId="14" fontId="14" fillId="4" borderId="1" xfId="5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vertical="center"/>
    </xf>
    <xf numFmtId="0" fontId="16" fillId="4" borderId="0" xfId="0" applyFont="1" applyFill="1"/>
    <xf numFmtId="0" fontId="16" fillId="8" borderId="0" xfId="0" applyFont="1" applyFill="1"/>
    <xf numFmtId="0" fontId="16" fillId="8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/>
    <xf numFmtId="168" fontId="15" fillId="4" borderId="1" xfId="0" applyNumberFormat="1" applyFont="1" applyFill="1" applyBorder="1" applyAlignment="1"/>
    <xf numFmtId="3" fontId="15" fillId="4" borderId="1" xfId="5" applyNumberFormat="1" applyFont="1" applyFill="1" applyBorder="1" applyAlignment="1" applyProtection="1">
      <alignment horizontal="center" vertical="center"/>
      <protection locked="0"/>
    </xf>
    <xf numFmtId="169" fontId="15" fillId="4" borderId="1" xfId="0" applyNumberFormat="1" applyFont="1" applyFill="1" applyBorder="1" applyAlignment="1"/>
    <xf numFmtId="170" fontId="15" fillId="4" borderId="1" xfId="0" applyNumberFormat="1" applyFont="1" applyFill="1" applyBorder="1" applyAlignment="1"/>
    <xf numFmtId="4" fontId="15" fillId="4" borderId="1" xfId="5" applyNumberFormat="1" applyFont="1" applyFill="1" applyBorder="1" applyAlignment="1" applyProtection="1">
      <alignment horizontal="center" vertical="center"/>
      <protection locked="0"/>
    </xf>
    <xf numFmtId="4" fontId="14" fillId="4" borderId="1" xfId="5" applyNumberFormat="1" applyFont="1" applyFill="1" applyBorder="1" applyAlignment="1" applyProtection="1">
      <alignment horizontal="center" vertical="center"/>
      <protection locked="0"/>
    </xf>
    <xf numFmtId="4" fontId="16" fillId="4" borderId="1" xfId="0" applyNumberFormat="1" applyFont="1" applyFill="1" applyBorder="1" applyAlignment="1">
      <alignment horizontal="center"/>
    </xf>
    <xf numFmtId="2" fontId="14" fillId="4" borderId="1" xfId="0" applyNumberFormat="1" applyFont="1" applyFill="1" applyBorder="1" applyAlignment="1">
      <alignment horizontal="right"/>
    </xf>
    <xf numFmtId="0" fontId="14" fillId="4" borderId="1" xfId="0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wrapText="1"/>
    </xf>
    <xf numFmtId="3" fontId="15" fillId="4" borderId="12" xfId="17" applyNumberFormat="1" applyFont="1" applyFill="1" applyBorder="1" applyAlignment="1">
      <alignment horizontal="center" vertical="center" wrapText="1"/>
    </xf>
    <xf numFmtId="3" fontId="15" fillId="4" borderId="1" xfId="17" applyNumberFormat="1" applyFont="1" applyFill="1" applyBorder="1" applyAlignment="1">
      <alignment horizontal="center" vertical="center" wrapText="1"/>
    </xf>
    <xf numFmtId="169" fontId="15" fillId="4" borderId="1" xfId="1" applyNumberFormat="1" applyFont="1" applyFill="1" applyBorder="1" applyAlignment="1"/>
    <xf numFmtId="3" fontId="14" fillId="4" borderId="1" xfId="5" applyNumberFormat="1" applyFont="1" applyFill="1" applyBorder="1" applyAlignment="1" applyProtection="1">
      <alignment horizontal="center" vertical="center"/>
      <protection locked="0"/>
    </xf>
    <xf numFmtId="3" fontId="15" fillId="4" borderId="7" xfId="6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wrapText="1"/>
    </xf>
    <xf numFmtId="3" fontId="14" fillId="4" borderId="1" xfId="13" applyNumberFormat="1" applyFont="1" applyFill="1" applyBorder="1" applyAlignment="1">
      <alignment horizontal="center" vertical="center"/>
    </xf>
    <xf numFmtId="3" fontId="15" fillId="4" borderId="1" xfId="13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vertical="center"/>
    </xf>
    <xf numFmtId="4" fontId="16" fillId="4" borderId="1" xfId="0" applyNumberFormat="1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169" fontId="15" fillId="4" borderId="1" xfId="18" applyNumberFormat="1" applyFont="1" applyFill="1" applyBorder="1" applyAlignment="1"/>
    <xf numFmtId="0" fontId="15" fillId="4" borderId="1" xfId="0" applyFont="1" applyFill="1" applyBorder="1" applyAlignment="1"/>
    <xf numFmtId="3" fontId="16" fillId="4" borderId="0" xfId="0" applyNumberFormat="1" applyFont="1" applyFill="1"/>
    <xf numFmtId="2" fontId="13" fillId="2" borderId="1" xfId="0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horizontal="center" vertical="center"/>
    </xf>
    <xf numFmtId="4" fontId="19" fillId="0" borderId="0" xfId="5" applyNumberFormat="1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left" wrapText="1"/>
    </xf>
    <xf numFmtId="3" fontId="13" fillId="0" borderId="0" xfId="0" applyNumberFormat="1" applyFont="1" applyBorder="1" applyAlignment="1">
      <alignment horizontal="center" vertical="center"/>
    </xf>
    <xf numFmtId="3" fontId="13" fillId="2" borderId="0" xfId="5" applyNumberFormat="1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left" vertical="center" wrapText="1"/>
    </xf>
    <xf numFmtId="4" fontId="13" fillId="2" borderId="0" xfId="5" applyNumberFormat="1" applyFont="1" applyFill="1" applyBorder="1" applyAlignment="1">
      <alignment horizontal="center" vertical="center"/>
    </xf>
    <xf numFmtId="2" fontId="13" fillId="2" borderId="0" xfId="5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/>
    </xf>
    <xf numFmtId="2" fontId="13" fillId="2" borderId="1" xfId="5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wrapText="1"/>
    </xf>
    <xf numFmtId="0" fontId="14" fillId="2" borderId="1" xfId="5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wrapText="1"/>
    </xf>
    <xf numFmtId="4" fontId="13" fillId="2" borderId="4" xfId="5" applyNumberFormat="1" applyFont="1" applyFill="1" applyBorder="1" applyAlignment="1">
      <alignment horizontal="center" vertical="center"/>
    </xf>
    <xf numFmtId="2" fontId="13" fillId="2" borderId="4" xfId="5" applyNumberFormat="1" applyFont="1" applyFill="1" applyBorder="1" applyAlignment="1">
      <alignment horizontal="center" vertical="center"/>
    </xf>
    <xf numFmtId="4" fontId="13" fillId="2" borderId="4" xfId="0" applyNumberFormat="1" applyFont="1" applyFill="1" applyBorder="1" applyAlignment="1">
      <alignment horizontal="center" vertical="center"/>
    </xf>
    <xf numFmtId="3" fontId="14" fillId="2" borderId="1" xfId="13" applyNumberFormat="1" applyFont="1" applyFill="1" applyBorder="1" applyAlignment="1">
      <alignment horizontal="center" vertical="center"/>
    </xf>
    <xf numFmtId="169" fontId="15" fillId="2" borderId="4" xfId="0" applyNumberFormat="1" applyFont="1" applyFill="1" applyBorder="1" applyAlignment="1">
      <alignment horizontal="center"/>
    </xf>
    <xf numFmtId="170" fontId="15" fillId="2" borderId="4" xfId="0" applyNumberFormat="1" applyFont="1" applyFill="1" applyBorder="1" applyAlignment="1">
      <alignment horizontal="center"/>
    </xf>
    <xf numFmtId="168" fontId="15" fillId="2" borderId="1" xfId="0" applyNumberFormat="1" applyFont="1" applyFill="1" applyBorder="1" applyAlignment="1">
      <alignment horizontal="center"/>
    </xf>
    <xf numFmtId="0" fontId="13" fillId="2" borderId="4" xfId="5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2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0" fontId="21" fillId="2" borderId="1" xfId="0" applyFont="1" applyFill="1" applyBorder="1" applyAlignment="1"/>
    <xf numFmtId="0" fontId="16" fillId="2" borderId="2" xfId="0" applyFont="1" applyFill="1" applyBorder="1" applyAlignment="1"/>
    <xf numFmtId="0" fontId="16" fillId="2" borderId="3" xfId="0" applyFont="1" applyFill="1" applyBorder="1" applyAlignment="1"/>
    <xf numFmtId="0" fontId="16" fillId="5" borderId="0" xfId="0" applyFont="1" applyFill="1"/>
    <xf numFmtId="1" fontId="13" fillId="2" borderId="0" xfId="5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4" fontId="13" fillId="2" borderId="2" xfId="5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6" fillId="4" borderId="2" xfId="0" applyNumberFormat="1" applyFont="1" applyFill="1" applyBorder="1" applyAlignment="1">
      <alignment vertical="center"/>
    </xf>
    <xf numFmtId="4" fontId="13" fillId="0" borderId="2" xfId="5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vertical="center"/>
    </xf>
    <xf numFmtId="3" fontId="13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3" fontId="16" fillId="0" borderId="2" xfId="0" applyNumberFormat="1" applyFont="1" applyBorder="1" applyAlignment="1">
      <alignment vertical="center" wrapText="1"/>
    </xf>
    <xf numFmtId="4" fontId="19" fillId="0" borderId="0" xfId="5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4" fontId="16" fillId="0" borderId="1" xfId="0" applyNumberFormat="1" applyFont="1" applyBorder="1"/>
    <xf numFmtId="14" fontId="14" fillId="2" borderId="1" xfId="5" applyNumberFormat="1" applyFont="1" applyFill="1" applyBorder="1" applyAlignment="1">
      <alignment horizontal="center" vertical="top" wrapText="1"/>
    </xf>
    <xf numFmtId="1" fontId="14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1" applyFont="1" applyFill="1" applyBorder="1" applyAlignment="1"/>
    <xf numFmtId="1" fontId="15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1" fontId="5" fillId="2" borderId="1" xfId="18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1" fontId="13" fillId="2" borderId="1" xfId="5" applyNumberFormat="1" applyFont="1" applyFill="1" applyBorder="1" applyAlignment="1">
      <alignment horizontal="center" vertical="center" wrapText="1"/>
    </xf>
    <xf numFmtId="3" fontId="15" fillId="2" borderId="12" xfId="17" applyNumberFormat="1" applyFont="1" applyFill="1" applyBorder="1" applyAlignment="1">
      <alignment horizontal="center" vertical="center" wrapText="1"/>
    </xf>
    <xf numFmtId="3" fontId="15" fillId="2" borderId="1" xfId="17" applyNumberFormat="1" applyFont="1" applyFill="1" applyBorder="1" applyAlignment="1">
      <alignment horizontal="center" vertical="center" wrapText="1"/>
    </xf>
    <xf numFmtId="3" fontId="15" fillId="2" borderId="9" xfId="17" applyNumberFormat="1" applyFont="1" applyFill="1" applyBorder="1" applyAlignment="1">
      <alignment horizontal="center" vertical="center" wrapText="1"/>
    </xf>
    <xf numFmtId="1" fontId="15" fillId="2" borderId="4" xfId="0" applyNumberFormat="1" applyFont="1" applyFill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/>
    </xf>
    <xf numFmtId="3" fontId="14" fillId="2" borderId="4" xfId="13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169" fontId="15" fillId="2" borderId="1" xfId="0" applyNumberFormat="1" applyFont="1" applyFill="1" applyBorder="1" applyAlignment="1">
      <alignment horizontal="center"/>
    </xf>
    <xf numFmtId="170" fontId="15" fillId="2" borderId="1" xfId="0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wrapText="1"/>
    </xf>
    <xf numFmtId="3" fontId="14" fillId="2" borderId="4" xfId="5" applyNumberFormat="1" applyFont="1" applyFill="1" applyBorder="1" applyAlignment="1">
      <alignment horizontal="center" vertical="center"/>
    </xf>
    <xf numFmtId="173" fontId="13" fillId="2" borderId="1" xfId="5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/>
    <xf numFmtId="3" fontId="16" fillId="0" borderId="1" xfId="0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3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3" fillId="2" borderId="1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left" vertical="center"/>
    </xf>
    <xf numFmtId="0" fontId="30" fillId="9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5" fillId="2" borderId="1" xfId="1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horizontal="left" vertical="center" wrapText="1"/>
    </xf>
    <xf numFmtId="12" fontId="15" fillId="2" borderId="1" xfId="0" applyNumberFormat="1" applyFont="1" applyFill="1" applyBorder="1" applyAlignment="1">
      <alignment horizontal="center" vertical="center" wrapText="1"/>
    </xf>
    <xf numFmtId="1" fontId="14" fillId="2" borderId="1" xfId="18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30" fillId="9" borderId="1" xfId="0" applyNumberFormat="1" applyFont="1" applyFill="1" applyBorder="1" applyAlignment="1">
      <alignment horizontal="center" vertical="center" wrapText="1"/>
    </xf>
    <xf numFmtId="0" fontId="33" fillId="9" borderId="1" xfId="0" applyNumberFormat="1" applyFont="1" applyFill="1" applyBorder="1" applyAlignment="1">
      <alignment horizontal="left" vertical="top" wrapText="1"/>
    </xf>
    <xf numFmtId="173" fontId="3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9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0" fontId="30" fillId="9" borderId="5" xfId="0" applyNumberFormat="1" applyFont="1" applyFill="1" applyBorder="1" applyAlignment="1">
      <alignment horizontal="center" vertical="center" wrapText="1"/>
    </xf>
    <xf numFmtId="0" fontId="30" fillId="9" borderId="13" xfId="0" applyNumberFormat="1" applyFont="1" applyFill="1" applyBorder="1" applyAlignment="1">
      <alignment horizontal="center" vertical="center" wrapText="1"/>
    </xf>
    <xf numFmtId="0" fontId="30" fillId="9" borderId="8" xfId="0" applyNumberFormat="1" applyFont="1" applyFill="1" applyBorder="1" applyAlignment="1">
      <alignment horizontal="center" vertical="center" wrapText="1"/>
    </xf>
    <xf numFmtId="0" fontId="30" fillId="9" borderId="1" xfId="0" applyNumberFormat="1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174" fontId="29" fillId="0" borderId="1" xfId="0" applyNumberFormat="1" applyFont="1" applyBorder="1" applyAlignment="1">
      <alignment horizontal="center" vertical="center" wrapText="1"/>
    </xf>
    <xf numFmtId="174" fontId="29" fillId="2" borderId="1" xfId="0" applyNumberFormat="1" applyFont="1" applyFill="1" applyBorder="1" applyAlignment="1">
      <alignment horizontal="center" vertical="center"/>
    </xf>
    <xf numFmtId="0" fontId="30" fillId="9" borderId="5" xfId="0" applyNumberFormat="1" applyFont="1" applyFill="1" applyBorder="1" applyAlignment="1">
      <alignment horizontal="center" vertical="center" wrapText="1"/>
    </xf>
    <xf numFmtId="0" fontId="30" fillId="9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14" fontId="0" fillId="0" borderId="37" xfId="0" applyNumberFormat="1" applyBorder="1" applyAlignment="1"/>
    <xf numFmtId="14" fontId="16" fillId="0" borderId="37" xfId="0" applyNumberFormat="1" applyFont="1" applyBorder="1" applyAlignment="1"/>
    <xf numFmtId="0" fontId="30" fillId="9" borderId="5" xfId="0" applyNumberFormat="1" applyFont="1" applyFill="1" applyBorder="1" applyAlignment="1">
      <alignment horizontal="center" vertical="center" wrapText="1"/>
    </xf>
    <xf numFmtId="0" fontId="30" fillId="9" borderId="1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30" fillId="9" borderId="2" xfId="0" applyNumberFormat="1" applyFont="1" applyFill="1" applyBorder="1" applyAlignment="1">
      <alignment vertical="center" wrapText="1"/>
    </xf>
    <xf numFmtId="0" fontId="30" fillId="9" borderId="3" xfId="0" applyNumberFormat="1" applyFont="1" applyFill="1" applyBorder="1" applyAlignment="1">
      <alignment vertical="center" wrapText="1"/>
    </xf>
    <xf numFmtId="0" fontId="30" fillId="9" borderId="6" xfId="0" applyNumberFormat="1" applyFont="1" applyFill="1" applyBorder="1" applyAlignment="1">
      <alignment vertical="center" wrapText="1"/>
    </xf>
    <xf numFmtId="0" fontId="16" fillId="0" borderId="0" xfId="0" applyFont="1" applyAlignment="1"/>
    <xf numFmtId="0" fontId="32" fillId="0" borderId="37" xfId="0" applyFont="1" applyBorder="1" applyAlignment="1"/>
    <xf numFmtId="0" fontId="16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174" fontId="35" fillId="0" borderId="1" xfId="0" applyNumberFormat="1" applyFont="1" applyBorder="1" applyAlignment="1">
      <alignment horizontal="center" vertical="center" wrapText="1"/>
    </xf>
    <xf numFmtId="0" fontId="30" fillId="9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174" fontId="31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28" fillId="2" borderId="1" xfId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wrapText="1"/>
    </xf>
    <xf numFmtId="3" fontId="16" fillId="2" borderId="6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4" fontId="19" fillId="0" borderId="0" xfId="5" applyNumberFormat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/>
    </xf>
    <xf numFmtId="4" fontId="15" fillId="2" borderId="3" xfId="0" applyNumberFormat="1" applyFont="1" applyFill="1" applyBorder="1" applyAlignment="1">
      <alignment horizontal="center"/>
    </xf>
    <xf numFmtId="4" fontId="15" fillId="2" borderId="6" xfId="0" applyNumberFormat="1" applyFont="1" applyFill="1" applyBorder="1" applyAlignment="1">
      <alignment horizontal="center"/>
    </xf>
    <xf numFmtId="4" fontId="15" fillId="2" borderId="2" xfId="0" applyNumberFormat="1" applyFont="1" applyFill="1" applyBorder="1" applyAlignment="1">
      <alignment horizontal="center" wrapText="1"/>
    </xf>
    <xf numFmtId="4" fontId="15" fillId="2" borderId="3" xfId="0" applyNumberFormat="1" applyFont="1" applyFill="1" applyBorder="1" applyAlignment="1">
      <alignment horizontal="center" wrapText="1"/>
    </xf>
    <xf numFmtId="4" fontId="15" fillId="2" borderId="6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2" borderId="6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3" fontId="14" fillId="2" borderId="11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/>
    </xf>
    <xf numFmtId="0" fontId="16" fillId="2" borderId="37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5" fillId="2" borderId="13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6" fillId="2" borderId="6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3" fontId="16" fillId="0" borderId="2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wrapText="1"/>
    </xf>
    <xf numFmtId="0" fontId="5" fillId="2" borderId="29" xfId="1" applyFont="1" applyFill="1" applyBorder="1" applyAlignment="1">
      <alignment horizont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30" fillId="9" borderId="4" xfId="0" applyNumberFormat="1" applyFont="1" applyFill="1" applyBorder="1" applyAlignment="1">
      <alignment horizontal="center" vertical="center" wrapText="1"/>
    </xf>
    <xf numFmtId="0" fontId="30" fillId="9" borderId="11" xfId="0" applyNumberFormat="1" applyFont="1" applyFill="1" applyBorder="1" applyAlignment="1">
      <alignment horizontal="center" vertical="center" wrapText="1"/>
    </xf>
    <xf numFmtId="0" fontId="30" fillId="9" borderId="5" xfId="0" applyNumberFormat="1" applyFont="1" applyFill="1" applyBorder="1" applyAlignment="1">
      <alignment horizontal="center" vertical="center" wrapText="1"/>
    </xf>
    <xf numFmtId="0" fontId="30" fillId="9" borderId="6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9" fillId="9" borderId="1" xfId="0" applyNumberFormat="1" applyFont="1" applyFill="1" applyBorder="1" applyAlignment="1">
      <alignment horizontal="center" vertical="center" wrapText="1"/>
    </xf>
    <xf numFmtId="0" fontId="29" fillId="9" borderId="4" xfId="0" applyNumberFormat="1" applyFont="1" applyFill="1" applyBorder="1" applyAlignment="1">
      <alignment horizontal="left" vertical="center" wrapText="1"/>
    </xf>
    <xf numFmtId="0" fontId="29" fillId="9" borderId="11" xfId="0" applyNumberFormat="1" applyFont="1" applyFill="1" applyBorder="1" applyAlignment="1">
      <alignment horizontal="left" vertical="center" wrapText="1"/>
    </xf>
    <xf numFmtId="0" fontId="29" fillId="9" borderId="5" xfId="0" applyNumberFormat="1" applyFont="1" applyFill="1" applyBorder="1" applyAlignment="1">
      <alignment horizontal="left" vertical="center" wrapText="1"/>
    </xf>
    <xf numFmtId="0" fontId="30" fillId="9" borderId="2" xfId="0" applyNumberFormat="1" applyFont="1" applyFill="1" applyBorder="1" applyAlignment="1">
      <alignment horizontal="center" vertical="center" wrapText="1"/>
    </xf>
    <xf numFmtId="0" fontId="30" fillId="9" borderId="3" xfId="0" applyNumberFormat="1" applyFont="1" applyFill="1" applyBorder="1" applyAlignment="1">
      <alignment horizontal="center" vertical="center" wrapText="1"/>
    </xf>
    <xf numFmtId="0" fontId="30" fillId="9" borderId="38" xfId="0" applyNumberFormat="1" applyFont="1" applyFill="1" applyBorder="1" applyAlignment="1">
      <alignment horizontal="center" vertical="center" wrapText="1"/>
    </xf>
    <xf numFmtId="0" fontId="30" fillId="9" borderId="1" xfId="0" applyNumberFormat="1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</cellXfs>
  <cellStyles count="19">
    <cellStyle name="Excel Built-in Normal" xfId="1"/>
    <cellStyle name="Excel Built-in Normal 1" xfId="2"/>
    <cellStyle name="Excel Built-in Normal 2" xfId="7"/>
    <cellStyle name="Excel Built-in Normal 3" xfId="17"/>
    <cellStyle name="Heading" xfId="8"/>
    <cellStyle name="Heading1" xfId="9"/>
    <cellStyle name="Result" xfId="10"/>
    <cellStyle name="Result2" xfId="11"/>
    <cellStyle name="Обычный" xfId="0" builtinId="0"/>
    <cellStyle name="Обычный 2" xfId="6"/>
    <cellStyle name="Обычный 2 2" xfId="3"/>
    <cellStyle name="Обычный 2 3" xfId="12"/>
    <cellStyle name="Обычный 2 4" xfId="16"/>
    <cellStyle name="Обычный 3" xfId="4"/>
    <cellStyle name="Обычный 3 2" xfId="13"/>
    <cellStyle name="Обычный 4" xfId="5"/>
    <cellStyle name="Обычный 7" xfId="14"/>
    <cellStyle name="Финансовый" xfId="18" builtinId="3"/>
    <cellStyle name="Финансовый 2" xfId="15"/>
  </cellStyles>
  <dxfs count="0"/>
  <tableStyles count="0" defaultTableStyle="TableStyleMedium2" defaultPivotStyle="PivotStyleLight16"/>
  <colors>
    <mruColors>
      <color rgb="FFFF3300"/>
      <color rgb="FFFFA893"/>
      <color rgb="FFDCF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5"/>
  <sheetViews>
    <sheetView view="pageBreakPreview" zoomScale="69" zoomScaleNormal="90" zoomScaleSheetLayoutView="69" workbookViewId="0">
      <pane ySplit="8" topLeftCell="A124" activePane="bottomLeft" state="frozen"/>
      <selection pane="bottomLeft" activeCell="C126" sqref="C126"/>
    </sheetView>
  </sheetViews>
  <sheetFormatPr defaultColWidth="9.140625" defaultRowHeight="18.75"/>
  <cols>
    <col min="1" max="1" width="12.42578125" style="25" customWidth="1"/>
    <col min="2" max="2" width="9.85546875" style="28" customWidth="1"/>
    <col min="3" max="3" width="37.28515625" style="25" customWidth="1"/>
    <col min="4" max="4" width="17" style="25" customWidth="1"/>
    <col min="5" max="5" width="7.85546875" style="25" customWidth="1"/>
    <col min="6" max="6" width="18.85546875" style="67" customWidth="1"/>
    <col min="7" max="7" width="16.85546875" style="67" hidden="1" customWidth="1"/>
    <col min="8" max="10" width="16.5703125" style="67" hidden="1" customWidth="1"/>
    <col min="11" max="11" width="18.85546875" style="67" customWidth="1"/>
    <col min="12" max="12" width="21.28515625" style="67" customWidth="1"/>
    <col min="13" max="13" width="23.7109375" style="25" customWidth="1"/>
    <col min="14" max="14" width="19.85546875" style="25" customWidth="1"/>
    <col min="15" max="15" width="14.85546875" style="294" hidden="1" customWidth="1"/>
    <col min="16" max="16" width="18.5703125" style="294" hidden="1" customWidth="1"/>
    <col min="17" max="17" width="16.7109375" style="25" customWidth="1"/>
    <col min="18" max="18" width="22.7109375" style="70" customWidth="1"/>
    <col min="19" max="20" width="22" style="71" hidden="1" customWidth="1"/>
    <col min="21" max="21" width="22.28515625" style="71" hidden="1" customWidth="1"/>
    <col min="22" max="22" width="22.5703125" style="25" hidden="1" customWidth="1"/>
    <col min="23" max="23" width="18" style="25" hidden="1" customWidth="1"/>
    <col min="24" max="24" width="18.140625" style="25" hidden="1" customWidth="1"/>
    <col min="25" max="26" width="17.7109375" style="27" hidden="1" customWidth="1"/>
    <col min="27" max="27" width="37.42578125" style="25" customWidth="1"/>
    <col min="28" max="16384" width="9.140625" style="25"/>
  </cols>
  <sheetData>
    <row r="1" spans="1:28">
      <c r="A1" s="198"/>
      <c r="B1" s="193" t="s">
        <v>216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4"/>
      <c r="P1" s="194"/>
      <c r="Q1" s="192"/>
      <c r="R1" s="195"/>
      <c r="S1" s="196"/>
      <c r="T1" s="196"/>
      <c r="U1" s="196"/>
      <c r="V1" s="192"/>
      <c r="W1" s="192"/>
      <c r="X1" s="192"/>
      <c r="Y1" s="197"/>
      <c r="Z1" s="197"/>
    </row>
    <row r="2" spans="1:28">
      <c r="A2" s="199"/>
      <c r="B2" s="193" t="s">
        <v>217</v>
      </c>
      <c r="C2" s="192"/>
      <c r="D2" s="279"/>
      <c r="E2" s="192"/>
      <c r="F2" s="193" t="s">
        <v>241</v>
      </c>
      <c r="G2" s="192"/>
      <c r="H2" s="192"/>
      <c r="I2" s="192"/>
      <c r="J2" s="192"/>
      <c r="K2" s="192"/>
      <c r="L2" s="192"/>
      <c r="M2" s="192"/>
      <c r="N2" s="192"/>
      <c r="O2" s="194"/>
      <c r="P2" s="194"/>
      <c r="Q2" s="192"/>
      <c r="R2" s="195"/>
      <c r="S2" s="196"/>
      <c r="T2" s="196"/>
      <c r="U2" s="196"/>
      <c r="V2" s="192"/>
      <c r="W2" s="192"/>
      <c r="X2" s="192"/>
      <c r="Y2" s="197"/>
      <c r="Z2" s="197"/>
    </row>
    <row r="3" spans="1:28">
      <c r="A3" s="215"/>
      <c r="B3" s="408" t="s">
        <v>230</v>
      </c>
      <c r="C3" s="408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4"/>
      <c r="P3" s="194"/>
      <c r="Q3" s="192"/>
      <c r="R3" s="195"/>
      <c r="S3" s="196"/>
      <c r="T3" s="196"/>
      <c r="U3" s="196"/>
      <c r="V3" s="192"/>
      <c r="W3" s="192"/>
      <c r="X3" s="192"/>
      <c r="Y3" s="197"/>
      <c r="Z3" s="197"/>
    </row>
    <row r="4" spans="1:28">
      <c r="A4" s="216"/>
      <c r="B4" s="409" t="s">
        <v>220</v>
      </c>
      <c r="C4" s="409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4"/>
      <c r="P4" s="194"/>
      <c r="Q4" s="192"/>
      <c r="R4" s="195"/>
      <c r="S4" s="196"/>
      <c r="T4" s="196"/>
      <c r="U4" s="196"/>
      <c r="V4" s="192"/>
      <c r="W4" s="192"/>
      <c r="X4" s="192"/>
      <c r="Y4" s="197"/>
      <c r="Z4" s="197"/>
    </row>
    <row r="5" spans="1:28" ht="21" customHeight="1">
      <c r="A5" s="276" t="s">
        <v>239</v>
      </c>
      <c r="B5" s="277"/>
      <c r="C5" s="278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4"/>
      <c r="P5" s="194"/>
      <c r="Q5" s="192"/>
      <c r="R5" s="195"/>
      <c r="S5" s="196"/>
      <c r="T5" s="196"/>
      <c r="U5" s="196"/>
      <c r="V5" s="192"/>
      <c r="W5" s="192"/>
      <c r="X5" s="192"/>
      <c r="Y5" s="197"/>
      <c r="Z5" s="197"/>
    </row>
    <row r="6" spans="1:28" ht="44.25" customHeight="1">
      <c r="A6" s="405" t="s">
        <v>0</v>
      </c>
      <c r="B6" s="405" t="s">
        <v>17</v>
      </c>
      <c r="C6" s="405" t="s">
        <v>1</v>
      </c>
      <c r="D6" s="405" t="s">
        <v>42</v>
      </c>
      <c r="E6" s="412" t="s">
        <v>38</v>
      </c>
      <c r="F6" s="413"/>
      <c r="G6" s="416" t="s">
        <v>20</v>
      </c>
      <c r="H6" s="417"/>
      <c r="I6" s="416" t="s">
        <v>28</v>
      </c>
      <c r="J6" s="417"/>
      <c r="K6" s="416" t="s">
        <v>234</v>
      </c>
      <c r="L6" s="417"/>
      <c r="M6" s="405" t="s">
        <v>235</v>
      </c>
      <c r="N6" s="402" t="s">
        <v>236</v>
      </c>
      <c r="O6" s="402" t="s">
        <v>45</v>
      </c>
      <c r="P6" s="402" t="s">
        <v>46</v>
      </c>
      <c r="Q6" s="405" t="s">
        <v>237</v>
      </c>
      <c r="R6" s="291" t="s">
        <v>40</v>
      </c>
      <c r="S6" s="274"/>
      <c r="T6" s="274"/>
      <c r="U6" s="275"/>
      <c r="V6" s="402" t="s">
        <v>12</v>
      </c>
      <c r="W6" s="392" t="s">
        <v>31</v>
      </c>
      <c r="X6" s="392" t="s">
        <v>32</v>
      </c>
      <c r="Y6" s="392" t="s">
        <v>33</v>
      </c>
      <c r="Z6" s="393" t="s">
        <v>32</v>
      </c>
      <c r="AA6" s="394" t="s">
        <v>250</v>
      </c>
      <c r="AB6" s="39"/>
    </row>
    <row r="7" spans="1:28" ht="84" customHeight="1">
      <c r="A7" s="406"/>
      <c r="B7" s="406"/>
      <c r="C7" s="406"/>
      <c r="D7" s="406"/>
      <c r="E7" s="414"/>
      <c r="F7" s="415"/>
      <c r="G7" s="418"/>
      <c r="H7" s="419"/>
      <c r="I7" s="418"/>
      <c r="J7" s="419"/>
      <c r="K7" s="418"/>
      <c r="L7" s="419"/>
      <c r="M7" s="406"/>
      <c r="N7" s="403"/>
      <c r="O7" s="403"/>
      <c r="P7" s="403"/>
      <c r="Q7" s="406"/>
      <c r="R7" s="397" t="s">
        <v>21</v>
      </c>
      <c r="S7" s="399" t="s">
        <v>37</v>
      </c>
      <c r="T7" s="400"/>
      <c r="U7" s="401"/>
      <c r="V7" s="403"/>
      <c r="W7" s="392"/>
      <c r="X7" s="392"/>
      <c r="Y7" s="392"/>
      <c r="Z7" s="393"/>
      <c r="AA7" s="395"/>
      <c r="AB7" s="39"/>
    </row>
    <row r="8" spans="1:28" ht="57" customHeight="1">
      <c r="A8" s="407"/>
      <c r="B8" s="407"/>
      <c r="C8" s="407"/>
      <c r="D8" s="407"/>
      <c r="E8" s="4" t="s">
        <v>8</v>
      </c>
      <c r="F8" s="33" t="s">
        <v>2</v>
      </c>
      <c r="G8" s="33" t="s">
        <v>8</v>
      </c>
      <c r="H8" s="33" t="s">
        <v>2</v>
      </c>
      <c r="I8" s="33" t="s">
        <v>8</v>
      </c>
      <c r="J8" s="33" t="s">
        <v>2</v>
      </c>
      <c r="K8" s="33" t="s">
        <v>9</v>
      </c>
      <c r="L8" s="33" t="s">
        <v>2</v>
      </c>
      <c r="M8" s="407"/>
      <c r="N8" s="404"/>
      <c r="O8" s="404"/>
      <c r="P8" s="404"/>
      <c r="Q8" s="407"/>
      <c r="R8" s="398"/>
      <c r="S8" s="293" t="s">
        <v>35</v>
      </c>
      <c r="T8" s="293" t="s">
        <v>34</v>
      </c>
      <c r="U8" s="293" t="s">
        <v>10</v>
      </c>
      <c r="V8" s="404"/>
      <c r="W8" s="392"/>
      <c r="X8" s="392"/>
      <c r="Y8" s="392"/>
      <c r="Z8" s="393"/>
      <c r="AA8" s="396"/>
      <c r="AB8" s="39"/>
    </row>
    <row r="9" spans="1:28">
      <c r="A9" s="410" t="s">
        <v>13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4"/>
      <c r="X9" s="44"/>
      <c r="Y9" s="41"/>
      <c r="Z9" s="283"/>
      <c r="AA9" s="39"/>
      <c r="AB9" s="39"/>
    </row>
    <row r="10" spans="1:28">
      <c r="A10" s="282">
        <v>1</v>
      </c>
      <c r="B10" s="13">
        <v>1</v>
      </c>
      <c r="C10" s="91" t="s">
        <v>19</v>
      </c>
      <c r="D10" s="42">
        <v>1537</v>
      </c>
      <c r="E10" s="42">
        <v>0</v>
      </c>
      <c r="F10" s="77">
        <v>0</v>
      </c>
      <c r="G10" s="42">
        <v>2</v>
      </c>
      <c r="H10" s="15">
        <f t="shared" ref="H10" si="0">52753*G10</f>
        <v>105506</v>
      </c>
      <c r="I10" s="42"/>
      <c r="J10" s="92"/>
      <c r="K10" s="42">
        <v>2193</v>
      </c>
      <c r="L10" s="93">
        <v>2514018</v>
      </c>
      <c r="M10" s="61"/>
      <c r="N10" s="76">
        <v>1300000</v>
      </c>
      <c r="O10" s="14"/>
      <c r="P10" s="14"/>
      <c r="Q10" s="61"/>
      <c r="R10" s="85"/>
      <c r="S10" s="85"/>
      <c r="T10" s="85"/>
      <c r="U10" s="85"/>
      <c r="V10" s="94"/>
      <c r="W10" s="42"/>
      <c r="X10" s="22"/>
      <c r="Y10" s="43"/>
      <c r="Z10" s="273"/>
      <c r="AA10" s="39"/>
      <c r="AB10" s="39"/>
    </row>
    <row r="11" spans="1:28">
      <c r="A11" s="17">
        <v>1</v>
      </c>
      <c r="B11" s="19">
        <f>SUM(B10:B10)</f>
        <v>1</v>
      </c>
      <c r="C11" s="18" t="s">
        <v>4</v>
      </c>
      <c r="D11" s="20">
        <f t="shared" ref="D11:L11" si="1">SUM(D10:D10)</f>
        <v>1537</v>
      </c>
      <c r="E11" s="20">
        <f t="shared" si="1"/>
        <v>0</v>
      </c>
      <c r="F11" s="20">
        <f t="shared" si="1"/>
        <v>0</v>
      </c>
      <c r="G11" s="20">
        <f t="shared" si="1"/>
        <v>2</v>
      </c>
      <c r="H11" s="20">
        <f t="shared" si="1"/>
        <v>105506</v>
      </c>
      <c r="I11" s="20">
        <f t="shared" si="1"/>
        <v>0</v>
      </c>
      <c r="J11" s="20">
        <f t="shared" si="1"/>
        <v>0</v>
      </c>
      <c r="K11" s="20">
        <f t="shared" si="1"/>
        <v>2193</v>
      </c>
      <c r="L11" s="20">
        <f t="shared" si="1"/>
        <v>2514018</v>
      </c>
      <c r="M11" s="20"/>
      <c r="N11" s="21">
        <v>1300000</v>
      </c>
      <c r="O11" s="20"/>
      <c r="P11" s="20"/>
      <c r="Q11" s="20"/>
      <c r="R11" s="21">
        <f>N11+L11+F11</f>
        <v>3814018</v>
      </c>
      <c r="S11" s="95"/>
      <c r="T11" s="95"/>
      <c r="U11" s="95"/>
      <c r="V11" s="21"/>
      <c r="W11" s="21"/>
      <c r="X11" s="21"/>
      <c r="Y11" s="21"/>
      <c r="Z11" s="284"/>
      <c r="AA11" s="39"/>
      <c r="AB11" s="39"/>
    </row>
    <row r="12" spans="1:28">
      <c r="A12" s="383" t="s">
        <v>3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9"/>
      <c r="X12" s="39"/>
      <c r="Y12" s="41"/>
      <c r="Z12" s="283"/>
      <c r="AA12" s="39"/>
      <c r="AB12" s="39"/>
    </row>
    <row r="13" spans="1:28">
      <c r="A13" s="282">
        <v>1</v>
      </c>
      <c r="B13" s="107">
        <v>1</v>
      </c>
      <c r="C13" s="98" t="s">
        <v>48</v>
      </c>
      <c r="D13" s="42">
        <f>K13</f>
        <v>2405</v>
      </c>
      <c r="E13" s="109">
        <v>0</v>
      </c>
      <c r="F13" s="103">
        <f>E13*51.324</f>
        <v>0</v>
      </c>
      <c r="G13" s="15"/>
      <c r="H13" s="15"/>
      <c r="I13" s="15"/>
      <c r="J13" s="15"/>
      <c r="K13" s="104">
        <v>2405</v>
      </c>
      <c r="L13" s="105">
        <v>3282123</v>
      </c>
      <c r="M13" s="61"/>
      <c r="N13" s="61"/>
      <c r="O13" s="14"/>
      <c r="P13" s="14"/>
      <c r="Q13" s="61"/>
      <c r="R13" s="85"/>
      <c r="S13" s="85"/>
      <c r="T13" s="85"/>
      <c r="U13" s="85"/>
      <c r="V13" s="94"/>
      <c r="W13" s="15"/>
      <c r="X13" s="24"/>
      <c r="Y13" s="43"/>
      <c r="Z13" s="273"/>
      <c r="AA13" s="39"/>
      <c r="AB13" s="39"/>
    </row>
    <row r="14" spans="1:28">
      <c r="A14" s="282">
        <v>2</v>
      </c>
      <c r="B14" s="107">
        <v>1</v>
      </c>
      <c r="C14" s="98" t="s">
        <v>49</v>
      </c>
      <c r="D14" s="42">
        <f>K14</f>
        <v>1851</v>
      </c>
      <c r="E14" s="109">
        <v>1</v>
      </c>
      <c r="F14" s="103">
        <v>39744</v>
      </c>
      <c r="G14" s="15">
        <v>3</v>
      </c>
      <c r="H14" s="15">
        <f t="shared" ref="H14:H15" si="2">52753*G14</f>
        <v>158259</v>
      </c>
      <c r="I14" s="15"/>
      <c r="J14" s="15"/>
      <c r="K14" s="104">
        <v>1851</v>
      </c>
      <c r="L14" s="105">
        <v>2776881</v>
      </c>
      <c r="M14" s="420"/>
      <c r="N14" s="421"/>
      <c r="O14" s="421"/>
      <c r="P14" s="421"/>
      <c r="Q14" s="421"/>
      <c r="R14" s="422"/>
      <c r="S14" s="85"/>
      <c r="T14" s="85"/>
      <c r="U14" s="85"/>
      <c r="V14" s="94"/>
      <c r="W14" s="15"/>
      <c r="X14" s="24"/>
      <c r="Y14" s="43"/>
      <c r="Z14" s="273"/>
      <c r="AA14" s="39"/>
      <c r="AB14" s="39"/>
    </row>
    <row r="15" spans="1:28">
      <c r="A15" s="282">
        <v>3</v>
      </c>
      <c r="B15" s="107">
        <v>1</v>
      </c>
      <c r="C15" s="98" t="s">
        <v>50</v>
      </c>
      <c r="D15" s="42">
        <v>1965</v>
      </c>
      <c r="E15" s="109">
        <v>2</v>
      </c>
      <c r="F15" s="103">
        <v>98110</v>
      </c>
      <c r="G15" s="15">
        <v>3</v>
      </c>
      <c r="H15" s="15">
        <f t="shared" si="2"/>
        <v>158259</v>
      </c>
      <c r="I15" s="15"/>
      <c r="J15" s="15"/>
      <c r="K15" s="104">
        <v>1965</v>
      </c>
      <c r="L15" s="105">
        <v>2696277</v>
      </c>
      <c r="M15" s="61"/>
      <c r="N15" s="61"/>
      <c r="O15" s="14"/>
      <c r="P15" s="14"/>
      <c r="Q15" s="61"/>
      <c r="R15" s="85"/>
      <c r="S15" s="85"/>
      <c r="T15" s="85"/>
      <c r="U15" s="85"/>
      <c r="V15" s="94"/>
      <c r="W15" s="15"/>
      <c r="X15" s="24"/>
      <c r="Y15" s="43"/>
      <c r="Z15" s="273"/>
      <c r="AA15" s="39"/>
      <c r="AB15" s="39"/>
    </row>
    <row r="16" spans="1:28" ht="18.75" customHeight="1">
      <c r="A16" s="282">
        <v>4</v>
      </c>
      <c r="B16" s="107">
        <v>1</v>
      </c>
      <c r="C16" s="98" t="s">
        <v>18</v>
      </c>
      <c r="D16" s="42">
        <f>K16</f>
        <v>865</v>
      </c>
      <c r="E16" s="15">
        <v>0</v>
      </c>
      <c r="F16" s="77">
        <v>0</v>
      </c>
      <c r="G16" s="15"/>
      <c r="H16" s="15"/>
      <c r="I16" s="15"/>
      <c r="J16" s="15"/>
      <c r="K16" s="15">
        <v>865</v>
      </c>
      <c r="L16" s="105">
        <v>1024362</v>
      </c>
      <c r="M16" s="61"/>
      <c r="N16" s="61"/>
      <c r="O16" s="14"/>
      <c r="P16" s="14"/>
      <c r="Q16" s="61"/>
      <c r="R16" s="85"/>
      <c r="S16" s="85"/>
      <c r="T16" s="85"/>
      <c r="U16" s="85"/>
      <c r="V16" s="296"/>
      <c r="W16" s="15"/>
      <c r="X16" s="24"/>
      <c r="Y16" s="43"/>
      <c r="Z16" s="273"/>
      <c r="AA16" s="39"/>
      <c r="AB16" s="39"/>
    </row>
    <row r="17" spans="1:28">
      <c r="A17" s="17">
        <v>4</v>
      </c>
      <c r="B17" s="19">
        <f>SUM(B13:B16)</f>
        <v>4</v>
      </c>
      <c r="C17" s="18" t="s">
        <v>4</v>
      </c>
      <c r="D17" s="20">
        <f t="shared" ref="D17:L17" si="3">SUM(D13:D16)</f>
        <v>7086</v>
      </c>
      <c r="E17" s="20">
        <f t="shared" si="3"/>
        <v>3</v>
      </c>
      <c r="F17" s="21">
        <f>F15+F14</f>
        <v>137854</v>
      </c>
      <c r="G17" s="20">
        <f t="shared" si="3"/>
        <v>6</v>
      </c>
      <c r="H17" s="20">
        <f t="shared" si="3"/>
        <v>316518</v>
      </c>
      <c r="I17" s="20">
        <f t="shared" si="3"/>
        <v>0</v>
      </c>
      <c r="J17" s="20">
        <f t="shared" si="3"/>
        <v>0</v>
      </c>
      <c r="K17" s="20">
        <f t="shared" si="3"/>
        <v>7086</v>
      </c>
      <c r="L17" s="21">
        <f t="shared" si="3"/>
        <v>9779643</v>
      </c>
      <c r="M17" s="20"/>
      <c r="N17" s="20"/>
      <c r="O17" s="20"/>
      <c r="P17" s="20"/>
      <c r="Q17" s="20"/>
      <c r="R17" s="21">
        <f>L17+F17</f>
        <v>9917497</v>
      </c>
      <c r="S17" s="95"/>
      <c r="T17" s="95"/>
      <c r="U17" s="95"/>
      <c r="V17" s="21"/>
      <c r="W17" s="249"/>
      <c r="X17" s="249"/>
      <c r="Y17" s="249"/>
      <c r="Z17" s="285"/>
      <c r="AA17" s="39"/>
      <c r="AB17" s="39"/>
    </row>
    <row r="18" spans="1:28">
      <c r="A18" s="383" t="s">
        <v>6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45"/>
      <c r="X18" s="39"/>
      <c r="Y18" s="41"/>
      <c r="Z18" s="283"/>
      <c r="AA18" s="39"/>
      <c r="AB18" s="39"/>
    </row>
    <row r="19" spans="1:28">
      <c r="A19" s="282">
        <v>1</v>
      </c>
      <c r="B19" s="107">
        <v>1</v>
      </c>
      <c r="C19" s="98" t="s">
        <v>51</v>
      </c>
      <c r="D19" s="42">
        <f>K19</f>
        <v>4104</v>
      </c>
      <c r="E19" s="109">
        <v>4</v>
      </c>
      <c r="F19" s="103">
        <v>233464</v>
      </c>
      <c r="G19" s="15">
        <v>1</v>
      </c>
      <c r="H19" s="15">
        <f t="shared" ref="H19:H31" si="4">52753*G19</f>
        <v>52753</v>
      </c>
      <c r="I19" s="15"/>
      <c r="J19" s="15"/>
      <c r="K19" s="125">
        <v>4104</v>
      </c>
      <c r="L19" s="105">
        <v>5249605</v>
      </c>
      <c r="M19" s="61">
        <v>1500000</v>
      </c>
      <c r="N19" s="61"/>
      <c r="O19" s="14"/>
      <c r="P19" s="14"/>
      <c r="Q19" s="61"/>
      <c r="R19" s="85"/>
      <c r="S19" s="96"/>
      <c r="T19" s="96"/>
      <c r="U19" s="96"/>
      <c r="V19" s="94"/>
      <c r="W19" s="15"/>
      <c r="X19" s="24"/>
      <c r="Y19" s="41"/>
      <c r="Z19" s="273"/>
      <c r="AA19" s="39"/>
      <c r="AB19" s="39"/>
    </row>
    <row r="20" spans="1:28">
      <c r="A20" s="282">
        <v>2</v>
      </c>
      <c r="B20" s="107">
        <v>1</v>
      </c>
      <c r="C20" s="98" t="s">
        <v>52</v>
      </c>
      <c r="D20" s="42">
        <f t="shared" ref="D20:D31" si="5">K20</f>
        <v>2896</v>
      </c>
      <c r="E20" s="109">
        <v>1</v>
      </c>
      <c r="F20" s="103">
        <v>58366</v>
      </c>
      <c r="G20" s="15"/>
      <c r="H20" s="15"/>
      <c r="I20" s="15"/>
      <c r="J20" s="15"/>
      <c r="K20" s="104">
        <v>2896</v>
      </c>
      <c r="L20" s="105">
        <v>3281357</v>
      </c>
      <c r="M20" s="61"/>
      <c r="N20" s="61"/>
      <c r="O20" s="14"/>
      <c r="P20" s="14"/>
      <c r="Q20" s="61"/>
      <c r="R20" s="85"/>
      <c r="S20" s="96"/>
      <c r="T20" s="96"/>
      <c r="U20" s="96"/>
      <c r="V20" s="94"/>
      <c r="W20" s="15"/>
      <c r="X20" s="24"/>
      <c r="Y20" s="41"/>
      <c r="Z20" s="273"/>
      <c r="AA20" s="39"/>
      <c r="AB20" s="39"/>
    </row>
    <row r="21" spans="1:28">
      <c r="A21" s="282">
        <v>3</v>
      </c>
      <c r="B21" s="107">
        <v>1</v>
      </c>
      <c r="C21" s="98" t="s">
        <v>53</v>
      </c>
      <c r="D21" s="42">
        <f t="shared" si="5"/>
        <v>1076</v>
      </c>
      <c r="E21" s="109">
        <v>3</v>
      </c>
      <c r="F21" s="103">
        <v>175098</v>
      </c>
      <c r="G21" s="15"/>
      <c r="H21" s="15"/>
      <c r="I21" s="15"/>
      <c r="J21" s="15"/>
      <c r="K21" s="104">
        <v>1076</v>
      </c>
      <c r="L21" s="105">
        <v>1672960</v>
      </c>
      <c r="M21" s="61">
        <v>1500000</v>
      </c>
      <c r="N21" s="61"/>
      <c r="O21" s="14"/>
      <c r="P21" s="14"/>
      <c r="Q21" s="61"/>
      <c r="R21" s="85"/>
      <c r="S21" s="96"/>
      <c r="T21" s="96"/>
      <c r="U21" s="96"/>
      <c r="V21" s="94"/>
      <c r="W21" s="15"/>
      <c r="X21" s="24"/>
      <c r="Y21" s="41"/>
      <c r="Z21" s="273"/>
      <c r="AA21" s="39"/>
      <c r="AB21" s="39"/>
    </row>
    <row r="22" spans="1:28" ht="37.5">
      <c r="A22" s="282">
        <v>4</v>
      </c>
      <c r="B22" s="108">
        <v>3</v>
      </c>
      <c r="C22" s="98" t="s">
        <v>54</v>
      </c>
      <c r="D22" s="42">
        <f t="shared" si="5"/>
        <v>5980</v>
      </c>
      <c r="E22" s="297">
        <v>7</v>
      </c>
      <c r="F22" s="103">
        <v>408561</v>
      </c>
      <c r="G22" s="15"/>
      <c r="H22" s="15"/>
      <c r="I22" s="15"/>
      <c r="J22" s="15"/>
      <c r="K22" s="104">
        <v>5980</v>
      </c>
      <c r="L22" s="105">
        <v>7354018</v>
      </c>
      <c r="M22" s="61"/>
      <c r="N22" s="61"/>
      <c r="O22" s="14"/>
      <c r="P22" s="14"/>
      <c r="Q22" s="61"/>
      <c r="R22" s="85"/>
      <c r="S22" s="96"/>
      <c r="T22" s="96"/>
      <c r="U22" s="96"/>
      <c r="V22" s="94"/>
      <c r="W22" s="15"/>
      <c r="X22" s="24"/>
      <c r="Y22" s="41"/>
      <c r="Z22" s="273"/>
      <c r="AA22" s="39"/>
      <c r="AB22" s="39"/>
    </row>
    <row r="23" spans="1:28" ht="37.5">
      <c r="A23" s="282">
        <v>5</v>
      </c>
      <c r="B23" s="107">
        <v>1</v>
      </c>
      <c r="C23" s="98" t="s">
        <v>55</v>
      </c>
      <c r="D23" s="42">
        <f t="shared" si="5"/>
        <v>4613</v>
      </c>
      <c r="E23" s="297">
        <v>1</v>
      </c>
      <c r="F23" s="103">
        <v>58366</v>
      </c>
      <c r="G23" s="15"/>
      <c r="H23" s="15"/>
      <c r="I23" s="15"/>
      <c r="J23" s="15"/>
      <c r="K23" s="104">
        <v>4613</v>
      </c>
      <c r="L23" s="105">
        <v>6973250</v>
      </c>
      <c r="M23" s="61"/>
      <c r="N23" s="61"/>
      <c r="O23" s="14"/>
      <c r="P23" s="14"/>
      <c r="Q23" s="61"/>
      <c r="R23" s="85"/>
      <c r="S23" s="96"/>
      <c r="T23" s="96"/>
      <c r="U23" s="96"/>
      <c r="V23" s="94"/>
      <c r="W23" s="15"/>
      <c r="X23" s="24"/>
      <c r="Y23" s="41"/>
      <c r="Z23" s="273"/>
      <c r="AA23" s="39"/>
      <c r="AB23" s="39"/>
    </row>
    <row r="24" spans="1:28">
      <c r="A24" s="282">
        <v>6</v>
      </c>
      <c r="B24" s="107">
        <v>1</v>
      </c>
      <c r="C24" s="98" t="s">
        <v>56</v>
      </c>
      <c r="D24" s="42">
        <f t="shared" si="5"/>
        <v>4441</v>
      </c>
      <c r="E24" s="297">
        <v>1</v>
      </c>
      <c r="F24" s="103">
        <v>58366</v>
      </c>
      <c r="G24" s="15"/>
      <c r="H24" s="15"/>
      <c r="I24" s="15"/>
      <c r="J24" s="15"/>
      <c r="K24" s="104">
        <v>4441</v>
      </c>
      <c r="L24" s="105">
        <v>4965330</v>
      </c>
      <c r="M24" s="61"/>
      <c r="N24" s="61"/>
      <c r="O24" s="14"/>
      <c r="P24" s="14"/>
      <c r="Q24" s="61"/>
      <c r="R24" s="85"/>
      <c r="S24" s="96"/>
      <c r="T24" s="96"/>
      <c r="U24" s="96"/>
      <c r="V24" s="94"/>
      <c r="W24" s="15"/>
      <c r="X24" s="24"/>
      <c r="Y24" s="41"/>
      <c r="Z24" s="273"/>
      <c r="AA24" s="39"/>
      <c r="AB24" s="39"/>
    </row>
    <row r="25" spans="1:28">
      <c r="A25" s="282">
        <v>7</v>
      </c>
      <c r="B25" s="107">
        <v>1</v>
      </c>
      <c r="C25" s="98" t="s">
        <v>57</v>
      </c>
      <c r="D25" s="42">
        <f t="shared" si="5"/>
        <v>1046</v>
      </c>
      <c r="E25" s="109">
        <v>1</v>
      </c>
      <c r="F25" s="103">
        <v>58366</v>
      </c>
      <c r="G25" s="15"/>
      <c r="H25" s="15"/>
      <c r="I25" s="15"/>
      <c r="J25" s="15"/>
      <c r="K25" s="104">
        <v>1046</v>
      </c>
      <c r="L25" s="105">
        <v>1219450</v>
      </c>
      <c r="M25" s="61"/>
      <c r="N25" s="61"/>
      <c r="O25" s="14"/>
      <c r="P25" s="14"/>
      <c r="Q25" s="61"/>
      <c r="R25" s="85"/>
      <c r="S25" s="96"/>
      <c r="T25" s="96"/>
      <c r="U25" s="96"/>
      <c r="V25" s="94"/>
      <c r="W25" s="15"/>
      <c r="X25" s="24"/>
      <c r="Y25" s="41"/>
      <c r="Z25" s="273"/>
      <c r="AA25" s="39"/>
      <c r="AB25" s="39"/>
    </row>
    <row r="26" spans="1:28">
      <c r="A26" s="282">
        <v>8</v>
      </c>
      <c r="B26" s="107">
        <v>1</v>
      </c>
      <c r="C26" s="98" t="s">
        <v>58</v>
      </c>
      <c r="D26" s="42">
        <f t="shared" si="5"/>
        <v>3439</v>
      </c>
      <c r="E26" s="109">
        <v>1</v>
      </c>
      <c r="F26" s="103">
        <v>58366</v>
      </c>
      <c r="G26" s="15"/>
      <c r="H26" s="15"/>
      <c r="I26" s="15"/>
      <c r="J26" s="15"/>
      <c r="K26" s="104">
        <v>3439</v>
      </c>
      <c r="L26" s="105">
        <v>3634547</v>
      </c>
      <c r="M26" s="61">
        <v>1500000</v>
      </c>
      <c r="N26" s="61"/>
      <c r="O26" s="14"/>
      <c r="P26" s="14"/>
      <c r="Q26" s="61"/>
      <c r="R26" s="85"/>
      <c r="S26" s="96"/>
      <c r="T26" s="96"/>
      <c r="U26" s="96"/>
      <c r="V26" s="94"/>
      <c r="W26" s="15"/>
      <c r="X26" s="24"/>
      <c r="Y26" s="41"/>
      <c r="Z26" s="273"/>
      <c r="AA26" s="39"/>
      <c r="AB26" s="39"/>
    </row>
    <row r="27" spans="1:28">
      <c r="A27" s="282">
        <v>9</v>
      </c>
      <c r="B27" s="107">
        <v>1</v>
      </c>
      <c r="C27" s="98" t="s">
        <v>59</v>
      </c>
      <c r="D27" s="42">
        <f t="shared" si="5"/>
        <v>740</v>
      </c>
      <c r="E27" s="298">
        <v>1</v>
      </c>
      <c r="F27" s="103">
        <v>58366</v>
      </c>
      <c r="G27" s="15"/>
      <c r="H27" s="15"/>
      <c r="I27" s="15"/>
      <c r="J27" s="15"/>
      <c r="K27" s="299">
        <v>740</v>
      </c>
      <c r="L27" s="105">
        <v>864868</v>
      </c>
      <c r="M27" s="61"/>
      <c r="N27" s="61"/>
      <c r="O27" s="14"/>
      <c r="P27" s="14"/>
      <c r="Q27" s="61"/>
      <c r="R27" s="85"/>
      <c r="S27" s="96"/>
      <c r="T27" s="96"/>
      <c r="U27" s="96"/>
      <c r="V27" s="94"/>
      <c r="W27" s="15"/>
      <c r="X27" s="24"/>
      <c r="Y27" s="41"/>
      <c r="Z27" s="273"/>
      <c r="AA27" s="39"/>
      <c r="AB27" s="39"/>
    </row>
    <row r="28" spans="1:28">
      <c r="A28" s="282">
        <v>10</v>
      </c>
      <c r="B28" s="107">
        <v>1</v>
      </c>
      <c r="C28" s="98" t="s">
        <v>60</v>
      </c>
      <c r="D28" s="42">
        <f t="shared" si="5"/>
        <v>1303</v>
      </c>
      <c r="E28" s="109">
        <v>2</v>
      </c>
      <c r="F28" s="103">
        <v>116732</v>
      </c>
      <c r="G28" s="15">
        <v>2</v>
      </c>
      <c r="H28" s="15">
        <f t="shared" si="4"/>
        <v>105506</v>
      </c>
      <c r="I28" s="15"/>
      <c r="J28" s="15"/>
      <c r="K28" s="104">
        <v>1303</v>
      </c>
      <c r="L28" s="105">
        <v>1632741</v>
      </c>
      <c r="M28" s="61">
        <v>1500000</v>
      </c>
      <c r="N28" s="61"/>
      <c r="O28" s="14"/>
      <c r="P28" s="14"/>
      <c r="Q28" s="61"/>
      <c r="R28" s="85"/>
      <c r="S28" s="96"/>
      <c r="T28" s="96"/>
      <c r="U28" s="96"/>
      <c r="V28" s="94"/>
      <c r="W28" s="15"/>
      <c r="X28" s="24"/>
      <c r="Y28" s="41"/>
      <c r="Z28" s="273"/>
      <c r="AA28" s="39"/>
      <c r="AB28" s="39"/>
    </row>
    <row r="29" spans="1:28">
      <c r="A29" s="282">
        <v>11</v>
      </c>
      <c r="B29" s="107">
        <v>1</v>
      </c>
      <c r="C29" s="98" t="s">
        <v>61</v>
      </c>
      <c r="D29" s="42">
        <f t="shared" si="5"/>
        <v>2465</v>
      </c>
      <c r="E29" s="109">
        <v>2</v>
      </c>
      <c r="F29" s="103">
        <v>116732</v>
      </c>
      <c r="G29" s="15">
        <v>1</v>
      </c>
      <c r="H29" s="15">
        <f t="shared" si="4"/>
        <v>52753</v>
      </c>
      <c r="I29" s="15"/>
      <c r="J29" s="15"/>
      <c r="K29" s="104">
        <v>2465</v>
      </c>
      <c r="L29" s="105">
        <v>3244189</v>
      </c>
      <c r="M29" s="61">
        <v>1500000</v>
      </c>
      <c r="N29" s="61"/>
      <c r="O29" s="14"/>
      <c r="P29" s="14"/>
      <c r="Q29" s="61"/>
      <c r="R29" s="85"/>
      <c r="S29" s="96"/>
      <c r="T29" s="96"/>
      <c r="U29" s="96"/>
      <c r="V29" s="94"/>
      <c r="W29" s="15"/>
      <c r="X29" s="24"/>
      <c r="Y29" s="41"/>
      <c r="Z29" s="273"/>
      <c r="AA29" s="39"/>
      <c r="AB29" s="39"/>
    </row>
    <row r="30" spans="1:28">
      <c r="A30" s="282">
        <v>12</v>
      </c>
      <c r="B30" s="107">
        <v>1</v>
      </c>
      <c r="C30" s="98" t="s">
        <v>62</v>
      </c>
      <c r="D30" s="42">
        <f t="shared" si="5"/>
        <v>1182</v>
      </c>
      <c r="E30" s="109">
        <v>1</v>
      </c>
      <c r="F30" s="103">
        <v>58366</v>
      </c>
      <c r="G30" s="15">
        <v>1</v>
      </c>
      <c r="H30" s="15">
        <f t="shared" si="4"/>
        <v>52753</v>
      </c>
      <c r="I30" s="15"/>
      <c r="J30" s="15"/>
      <c r="K30" s="104">
        <v>1182</v>
      </c>
      <c r="L30" s="105">
        <v>1394666</v>
      </c>
      <c r="M30" s="76"/>
      <c r="N30" s="76"/>
      <c r="O30" s="14"/>
      <c r="P30" s="14"/>
      <c r="Q30" s="61"/>
      <c r="R30" s="85"/>
      <c r="S30" s="96"/>
      <c r="T30" s="96"/>
      <c r="U30" s="96"/>
      <c r="V30" s="94"/>
      <c r="W30" s="15"/>
      <c r="X30" s="24"/>
      <c r="Y30" s="41"/>
      <c r="Z30" s="273"/>
      <c r="AA30" s="39"/>
      <c r="AB30" s="39"/>
    </row>
    <row r="31" spans="1:28" ht="37.5">
      <c r="A31" s="282">
        <v>13</v>
      </c>
      <c r="B31" s="107">
        <v>4</v>
      </c>
      <c r="C31" s="98" t="s">
        <v>63</v>
      </c>
      <c r="D31" s="42">
        <f t="shared" si="5"/>
        <v>4294</v>
      </c>
      <c r="E31" s="109">
        <v>7</v>
      </c>
      <c r="F31" s="103">
        <v>408561</v>
      </c>
      <c r="G31" s="15">
        <v>3</v>
      </c>
      <c r="H31" s="15">
        <f t="shared" si="4"/>
        <v>158259</v>
      </c>
      <c r="I31" s="15"/>
      <c r="J31" s="15"/>
      <c r="K31" s="104">
        <v>4294</v>
      </c>
      <c r="L31" s="105">
        <v>3942797</v>
      </c>
      <c r="M31" s="78"/>
      <c r="N31" s="78"/>
      <c r="O31" s="16"/>
      <c r="P31" s="16"/>
      <c r="Q31" s="62"/>
      <c r="R31" s="85"/>
      <c r="S31" s="96"/>
      <c r="T31" s="96"/>
      <c r="U31" s="96"/>
      <c r="V31" s="94"/>
      <c r="W31" s="15"/>
      <c r="X31" s="24"/>
      <c r="Y31" s="41"/>
      <c r="Z31" s="273"/>
      <c r="AA31" s="39"/>
      <c r="AB31" s="39"/>
    </row>
    <row r="32" spans="1:28">
      <c r="A32" s="282">
        <v>14</v>
      </c>
      <c r="B32" s="107">
        <v>2</v>
      </c>
      <c r="C32" s="98" t="s">
        <v>64</v>
      </c>
      <c r="D32" s="42"/>
      <c r="E32" s="300">
        <v>2</v>
      </c>
      <c r="F32" s="103">
        <v>116732</v>
      </c>
      <c r="G32" s="15"/>
      <c r="H32" s="15"/>
      <c r="I32" s="15"/>
      <c r="J32" s="15"/>
      <c r="K32" s="104">
        <v>1496</v>
      </c>
      <c r="L32" s="105">
        <v>1918997</v>
      </c>
      <c r="M32" s="78"/>
      <c r="N32" s="78"/>
      <c r="O32" s="16"/>
      <c r="P32" s="16"/>
      <c r="Q32" s="62"/>
      <c r="R32" s="85"/>
      <c r="S32" s="96"/>
      <c r="T32" s="96"/>
      <c r="U32" s="96"/>
      <c r="V32" s="94"/>
      <c r="W32" s="15"/>
      <c r="X32" s="24"/>
      <c r="Y32" s="41"/>
      <c r="Z32" s="273"/>
      <c r="AA32" s="39"/>
      <c r="AB32" s="39"/>
    </row>
    <row r="33" spans="1:28">
      <c r="A33" s="17">
        <v>14</v>
      </c>
      <c r="B33" s="19">
        <f>SUM(B19:B32)</f>
        <v>20</v>
      </c>
      <c r="C33" s="18" t="s">
        <v>4</v>
      </c>
      <c r="D33" s="20">
        <f>SUM(D19:D32)</f>
        <v>37579</v>
      </c>
      <c r="E33" s="20">
        <f>SUM(E19:E32)</f>
        <v>34</v>
      </c>
      <c r="F33" s="20">
        <f>SUM(F19:F32)</f>
        <v>1984442</v>
      </c>
      <c r="G33" s="20">
        <f t="shared" ref="G33:J33" si="6">SUM(G19:G32)</f>
        <v>8</v>
      </c>
      <c r="H33" s="20">
        <f t="shared" si="6"/>
        <v>422024</v>
      </c>
      <c r="I33" s="20">
        <f t="shared" si="6"/>
        <v>0</v>
      </c>
      <c r="J33" s="20">
        <f t="shared" si="6"/>
        <v>0</v>
      </c>
      <c r="K33" s="20">
        <f>SUM(K19:K32)</f>
        <v>39075</v>
      </c>
      <c r="L33" s="20">
        <f>SUM(L19:L32)</f>
        <v>47348775</v>
      </c>
      <c r="M33" s="20">
        <f>SUM(M19:M32)</f>
        <v>7500000</v>
      </c>
      <c r="N33" s="20">
        <f t="shared" ref="N33:Q33" si="7">SUM(N19:N32)</f>
        <v>0</v>
      </c>
      <c r="O33" s="20">
        <f t="shared" si="7"/>
        <v>0</v>
      </c>
      <c r="P33" s="20">
        <f t="shared" si="7"/>
        <v>0</v>
      </c>
      <c r="Q33" s="20">
        <f t="shared" si="7"/>
        <v>0</v>
      </c>
      <c r="R33" s="20">
        <f>M33+L33+F33</f>
        <v>56833217</v>
      </c>
      <c r="S33" s="95"/>
      <c r="T33" s="95"/>
      <c r="U33" s="95"/>
      <c r="V33" s="94"/>
      <c r="W33" s="21"/>
      <c r="X33" s="21"/>
      <c r="Y33" s="21"/>
      <c r="Z33" s="284"/>
      <c r="AA33" s="39"/>
      <c r="AB33" s="39"/>
    </row>
    <row r="34" spans="1:28">
      <c r="A34" s="383" t="s">
        <v>7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9"/>
      <c r="X34" s="39"/>
      <c r="Y34" s="41"/>
      <c r="Z34" s="283"/>
      <c r="AA34" s="39"/>
      <c r="AB34" s="39"/>
    </row>
    <row r="35" spans="1:28">
      <c r="A35" s="282">
        <v>1</v>
      </c>
      <c r="B35" s="124">
        <v>1</v>
      </c>
      <c r="C35" s="98" t="s">
        <v>231</v>
      </c>
      <c r="D35" s="42">
        <f>K35</f>
        <v>2042</v>
      </c>
      <c r="E35" s="116">
        <v>3</v>
      </c>
      <c r="F35" s="103">
        <v>170077</v>
      </c>
      <c r="G35" s="15">
        <v>2</v>
      </c>
      <c r="H35" s="15">
        <f t="shared" ref="H35" si="8">52753*G35</f>
        <v>105506</v>
      </c>
      <c r="I35" s="15"/>
      <c r="J35" s="15"/>
      <c r="K35" s="116">
        <v>2042</v>
      </c>
      <c r="L35" s="105">
        <v>2705644</v>
      </c>
      <c r="M35" s="61">
        <v>1500000</v>
      </c>
      <c r="N35" s="79">
        <v>1300000</v>
      </c>
      <c r="O35" s="14"/>
      <c r="P35" s="14"/>
      <c r="Q35" s="61"/>
      <c r="R35" s="85"/>
      <c r="S35" s="96"/>
      <c r="T35" s="96"/>
      <c r="U35" s="96"/>
      <c r="V35" s="94"/>
      <c r="W35" s="15"/>
      <c r="X35" s="24"/>
      <c r="Y35" s="41"/>
      <c r="Z35" s="273"/>
      <c r="AA35" s="39"/>
      <c r="AB35" s="39"/>
    </row>
    <row r="36" spans="1:28">
      <c r="A36" s="282">
        <v>2</v>
      </c>
      <c r="B36" s="124">
        <v>1</v>
      </c>
      <c r="C36" s="98" t="s">
        <v>65</v>
      </c>
      <c r="D36" s="42">
        <f t="shared" ref="D36:D66" si="9">K36</f>
        <v>1175</v>
      </c>
      <c r="E36" s="116">
        <v>2</v>
      </c>
      <c r="F36" s="103">
        <v>113385</v>
      </c>
      <c r="G36" s="15"/>
      <c r="H36" s="15"/>
      <c r="I36" s="15"/>
      <c r="J36" s="15"/>
      <c r="K36" s="116">
        <v>1175</v>
      </c>
      <c r="L36" s="105">
        <v>1632694</v>
      </c>
      <c r="M36" s="61"/>
      <c r="N36" s="79"/>
      <c r="O36" s="14"/>
      <c r="P36" s="14"/>
      <c r="Q36" s="61"/>
      <c r="R36" s="85"/>
      <c r="S36" s="96"/>
      <c r="T36" s="96"/>
      <c r="U36" s="96"/>
      <c r="V36" s="94"/>
      <c r="W36" s="15"/>
      <c r="X36" s="24"/>
      <c r="Y36" s="41"/>
      <c r="Z36" s="273"/>
      <c r="AA36" s="39"/>
      <c r="AB36" s="39"/>
    </row>
    <row r="37" spans="1:28">
      <c r="A37" s="282">
        <v>3</v>
      </c>
      <c r="B37" s="124">
        <v>1</v>
      </c>
      <c r="C37" s="98" t="s">
        <v>66</v>
      </c>
      <c r="D37" s="42">
        <f t="shared" si="9"/>
        <v>2518</v>
      </c>
      <c r="E37" s="102">
        <v>2</v>
      </c>
      <c r="F37" s="103">
        <v>79488</v>
      </c>
      <c r="G37" s="15"/>
      <c r="H37" s="15"/>
      <c r="I37" s="15"/>
      <c r="J37" s="15"/>
      <c r="K37" s="104">
        <v>2518</v>
      </c>
      <c r="L37" s="105">
        <v>3879878</v>
      </c>
      <c r="M37" s="61"/>
      <c r="N37" s="79"/>
      <c r="O37" s="14"/>
      <c r="P37" s="14"/>
      <c r="Q37" s="61"/>
      <c r="R37" s="85"/>
      <c r="S37" s="96"/>
      <c r="T37" s="96"/>
      <c r="U37" s="96"/>
      <c r="V37" s="94"/>
      <c r="W37" s="15"/>
      <c r="X37" s="24"/>
      <c r="Y37" s="41"/>
      <c r="Z37" s="273"/>
      <c r="AA37" s="39"/>
      <c r="AB37" s="39"/>
    </row>
    <row r="38" spans="1:28">
      <c r="A38" s="282">
        <v>4</v>
      </c>
      <c r="B38" s="124">
        <v>1</v>
      </c>
      <c r="C38" s="98" t="s">
        <v>67</v>
      </c>
      <c r="D38" s="42">
        <f t="shared" si="9"/>
        <v>4203</v>
      </c>
      <c r="E38" s="102">
        <v>5</v>
      </c>
      <c r="F38" s="103">
        <v>273208</v>
      </c>
      <c r="G38" s="15"/>
      <c r="H38" s="15"/>
      <c r="I38" s="15"/>
      <c r="J38" s="15"/>
      <c r="K38" s="104">
        <v>4203</v>
      </c>
      <c r="L38" s="105">
        <v>6210961</v>
      </c>
      <c r="M38" s="61"/>
      <c r="N38" s="79">
        <v>1300000</v>
      </c>
      <c r="O38" s="14"/>
      <c r="P38" s="14"/>
      <c r="Q38" s="61"/>
      <c r="R38" s="85"/>
      <c r="S38" s="96"/>
      <c r="T38" s="96"/>
      <c r="U38" s="96"/>
      <c r="V38" s="94"/>
      <c r="W38" s="15"/>
      <c r="X38" s="24"/>
      <c r="Y38" s="41"/>
      <c r="Z38" s="273"/>
      <c r="AA38" s="39"/>
      <c r="AB38" s="39"/>
    </row>
    <row r="39" spans="1:28">
      <c r="A39" s="282">
        <v>5</v>
      </c>
      <c r="B39" s="124">
        <v>1</v>
      </c>
      <c r="C39" s="98" t="s">
        <v>68</v>
      </c>
      <c r="D39" s="42">
        <f t="shared" si="9"/>
        <v>1124</v>
      </c>
      <c r="E39" s="102">
        <v>2</v>
      </c>
      <c r="F39" s="103">
        <v>113385</v>
      </c>
      <c r="G39" s="15"/>
      <c r="H39" s="15"/>
      <c r="I39" s="15"/>
      <c r="J39" s="15"/>
      <c r="K39" s="104">
        <v>1124</v>
      </c>
      <c r="L39" s="105">
        <v>1730768</v>
      </c>
      <c r="M39" s="61"/>
      <c r="N39" s="79">
        <v>1300000</v>
      </c>
      <c r="O39" s="14"/>
      <c r="P39" s="14"/>
      <c r="Q39" s="61"/>
      <c r="R39" s="85"/>
      <c r="S39" s="96"/>
      <c r="T39" s="96"/>
      <c r="U39" s="96"/>
      <c r="V39" s="94"/>
      <c r="W39" s="15"/>
      <c r="X39" s="24"/>
      <c r="Y39" s="41"/>
      <c r="Z39" s="273"/>
      <c r="AA39" s="39"/>
      <c r="AB39" s="39"/>
    </row>
    <row r="40" spans="1:28">
      <c r="A40" s="282">
        <v>6</v>
      </c>
      <c r="B40" s="124">
        <v>2</v>
      </c>
      <c r="C40" s="98" t="s">
        <v>69</v>
      </c>
      <c r="D40" s="42">
        <f t="shared" si="9"/>
        <v>4055</v>
      </c>
      <c r="E40" s="102">
        <v>4</v>
      </c>
      <c r="F40" s="103">
        <v>158975</v>
      </c>
      <c r="G40" s="15"/>
      <c r="H40" s="15"/>
      <c r="I40" s="15"/>
      <c r="J40" s="15"/>
      <c r="K40" s="104">
        <v>4055</v>
      </c>
      <c r="L40" s="105">
        <v>5734216</v>
      </c>
      <c r="M40" s="61"/>
      <c r="N40" s="79">
        <v>1300000</v>
      </c>
      <c r="O40" s="14"/>
      <c r="P40" s="14"/>
      <c r="Q40" s="61"/>
      <c r="R40" s="85"/>
      <c r="S40" s="96"/>
      <c r="T40" s="96"/>
      <c r="U40" s="96"/>
      <c r="V40" s="94"/>
      <c r="W40" s="15"/>
      <c r="X40" s="24"/>
      <c r="Y40" s="41"/>
      <c r="Z40" s="273"/>
      <c r="AA40" s="39"/>
      <c r="AB40" s="39"/>
    </row>
    <row r="41" spans="1:28">
      <c r="A41" s="282">
        <v>7</v>
      </c>
      <c r="B41" s="124">
        <v>2</v>
      </c>
      <c r="C41" s="98" t="s">
        <v>70</v>
      </c>
      <c r="D41" s="42">
        <f t="shared" si="9"/>
        <v>2324</v>
      </c>
      <c r="E41" s="102">
        <v>5</v>
      </c>
      <c r="F41" s="103">
        <v>254586</v>
      </c>
      <c r="G41" s="15"/>
      <c r="H41" s="15"/>
      <c r="I41" s="15"/>
      <c r="J41" s="15"/>
      <c r="K41" s="104">
        <v>2324</v>
      </c>
      <c r="L41" s="105">
        <v>3256663</v>
      </c>
      <c r="M41" s="61"/>
      <c r="N41" s="79">
        <v>1300000</v>
      </c>
      <c r="O41" s="14"/>
      <c r="P41" s="14"/>
      <c r="Q41" s="61"/>
      <c r="R41" s="85"/>
      <c r="S41" s="96"/>
      <c r="T41" s="96"/>
      <c r="U41" s="96"/>
      <c r="V41" s="94"/>
      <c r="W41" s="15"/>
      <c r="X41" s="24"/>
      <c r="Y41" s="41"/>
      <c r="Z41" s="273"/>
      <c r="AA41" s="39"/>
      <c r="AB41" s="39"/>
    </row>
    <row r="42" spans="1:28" ht="37.5">
      <c r="A42" s="282">
        <v>8</v>
      </c>
      <c r="B42" s="124">
        <v>2</v>
      </c>
      <c r="C42" s="98" t="s">
        <v>71</v>
      </c>
      <c r="D42" s="42">
        <f t="shared" si="9"/>
        <v>3971</v>
      </c>
      <c r="E42" s="102">
        <v>6</v>
      </c>
      <c r="F42" s="103">
        <v>294329</v>
      </c>
      <c r="G42" s="15"/>
      <c r="H42" s="15"/>
      <c r="I42" s="15"/>
      <c r="J42" s="15"/>
      <c r="K42" s="104">
        <v>3971</v>
      </c>
      <c r="L42" s="105">
        <v>5306510</v>
      </c>
      <c r="M42" s="61"/>
      <c r="N42" s="79">
        <v>1300000</v>
      </c>
      <c r="O42" s="14"/>
      <c r="P42" s="14"/>
      <c r="Q42" s="61"/>
      <c r="R42" s="85"/>
      <c r="S42" s="96"/>
      <c r="T42" s="96"/>
      <c r="U42" s="96"/>
      <c r="V42" s="94"/>
      <c r="W42" s="15"/>
      <c r="X42" s="24"/>
      <c r="Y42" s="41"/>
      <c r="Z42" s="273"/>
      <c r="AA42" s="39"/>
      <c r="AB42" s="39"/>
    </row>
    <row r="43" spans="1:28">
      <c r="A43" s="282">
        <v>9</v>
      </c>
      <c r="B43" s="124">
        <v>1</v>
      </c>
      <c r="C43" s="98" t="s">
        <v>72</v>
      </c>
      <c r="D43" s="42">
        <f t="shared" si="9"/>
        <v>1463</v>
      </c>
      <c r="E43" s="102">
        <v>3</v>
      </c>
      <c r="F43" s="103">
        <v>268483</v>
      </c>
      <c r="G43" s="15"/>
      <c r="H43" s="15"/>
      <c r="I43" s="15"/>
      <c r="J43" s="15"/>
      <c r="K43" s="104">
        <v>1463</v>
      </c>
      <c r="L43" s="105">
        <v>1971877</v>
      </c>
      <c r="M43" s="61"/>
      <c r="N43" s="79">
        <v>1300000</v>
      </c>
      <c r="O43" s="14"/>
      <c r="P43" s="14"/>
      <c r="Q43" s="61"/>
      <c r="R43" s="85"/>
      <c r="S43" s="96"/>
      <c r="T43" s="96"/>
      <c r="U43" s="96"/>
      <c r="V43" s="94"/>
      <c r="W43" s="15"/>
      <c r="X43" s="24"/>
      <c r="Y43" s="41"/>
      <c r="Z43" s="273"/>
      <c r="AA43" s="39"/>
      <c r="AB43" s="39"/>
    </row>
    <row r="44" spans="1:28">
      <c r="A44" s="282">
        <v>10</v>
      </c>
      <c r="B44" s="124">
        <v>1</v>
      </c>
      <c r="C44" s="98" t="s">
        <v>73</v>
      </c>
      <c r="D44" s="42">
        <f t="shared" si="9"/>
        <v>1490</v>
      </c>
      <c r="E44" s="102">
        <v>1</v>
      </c>
      <c r="F44" s="103">
        <v>60108</v>
      </c>
      <c r="G44" s="15"/>
      <c r="H44" s="15"/>
      <c r="I44" s="15"/>
      <c r="J44" s="15"/>
      <c r="K44" s="104">
        <v>1490</v>
      </c>
      <c r="L44" s="105">
        <v>2243110</v>
      </c>
      <c r="M44" s="61"/>
      <c r="N44" s="79"/>
      <c r="O44" s="14"/>
      <c r="P44" s="14"/>
      <c r="Q44" s="61"/>
      <c r="R44" s="85"/>
      <c r="S44" s="96"/>
      <c r="T44" s="96"/>
      <c r="U44" s="96"/>
      <c r="V44" s="94"/>
      <c r="W44" s="15"/>
      <c r="X44" s="24"/>
      <c r="Y44" s="41"/>
      <c r="Z44" s="273"/>
      <c r="AA44" s="39"/>
      <c r="AB44" s="39"/>
    </row>
    <row r="45" spans="1:28">
      <c r="A45" s="282">
        <v>11</v>
      </c>
      <c r="B45" s="124">
        <v>1</v>
      </c>
      <c r="C45" s="98" t="s">
        <v>74</v>
      </c>
      <c r="D45" s="42">
        <f t="shared" si="9"/>
        <v>1660</v>
      </c>
      <c r="E45" s="102">
        <v>2</v>
      </c>
      <c r="F45" s="103">
        <v>98110</v>
      </c>
      <c r="G45" s="15"/>
      <c r="H45" s="15"/>
      <c r="I45" s="15"/>
      <c r="J45" s="15"/>
      <c r="K45" s="104">
        <v>1660</v>
      </c>
      <c r="L45" s="105">
        <v>2117990</v>
      </c>
      <c r="M45" s="61"/>
      <c r="N45" s="79">
        <v>1300000</v>
      </c>
      <c r="O45" s="14"/>
      <c r="P45" s="14"/>
      <c r="Q45" s="61"/>
      <c r="R45" s="85"/>
      <c r="S45" s="96"/>
      <c r="T45" s="96"/>
      <c r="U45" s="96"/>
      <c r="V45" s="94"/>
      <c r="W45" s="15"/>
      <c r="X45" s="24"/>
      <c r="Y45" s="41"/>
      <c r="Z45" s="273"/>
      <c r="AA45" s="39"/>
      <c r="AB45" s="39"/>
    </row>
    <row r="46" spans="1:28" ht="37.5">
      <c r="A46" s="282">
        <v>12</v>
      </c>
      <c r="B46" s="124">
        <v>2</v>
      </c>
      <c r="C46" s="98" t="s">
        <v>75</v>
      </c>
      <c r="D46" s="42">
        <f t="shared" si="9"/>
        <v>2831</v>
      </c>
      <c r="E46" s="102">
        <v>3</v>
      </c>
      <c r="F46" s="103">
        <v>119232</v>
      </c>
      <c r="G46" s="15"/>
      <c r="H46" s="15"/>
      <c r="I46" s="15"/>
      <c r="J46" s="15"/>
      <c r="K46" s="104">
        <v>2831</v>
      </c>
      <c r="L46" s="105">
        <v>3987605</v>
      </c>
      <c r="M46" s="61"/>
      <c r="N46" s="79"/>
      <c r="O46" s="14"/>
      <c r="P46" s="14"/>
      <c r="Q46" s="61"/>
      <c r="R46" s="85"/>
      <c r="S46" s="96"/>
      <c r="T46" s="96"/>
      <c r="U46" s="96"/>
      <c r="V46" s="94"/>
      <c r="W46" s="15"/>
      <c r="X46" s="24"/>
      <c r="Y46" s="41"/>
      <c r="Z46" s="273"/>
      <c r="AA46" s="39"/>
      <c r="AB46" s="39"/>
    </row>
    <row r="47" spans="1:28">
      <c r="A47" s="282">
        <v>13</v>
      </c>
      <c r="B47" s="124">
        <v>2</v>
      </c>
      <c r="C47" s="98" t="s">
        <v>76</v>
      </c>
      <c r="D47" s="42">
        <f t="shared" si="9"/>
        <v>1872</v>
      </c>
      <c r="E47" s="102">
        <v>3</v>
      </c>
      <c r="F47" s="103">
        <v>267568</v>
      </c>
      <c r="G47" s="15"/>
      <c r="H47" s="15"/>
      <c r="I47" s="15"/>
      <c r="J47" s="15"/>
      <c r="K47" s="104">
        <v>1872</v>
      </c>
      <c r="L47" s="105">
        <v>2454501</v>
      </c>
      <c r="M47" s="61"/>
      <c r="N47" s="79">
        <v>1300000</v>
      </c>
      <c r="O47" s="14"/>
      <c r="P47" s="14"/>
      <c r="Q47" s="61"/>
      <c r="R47" s="85"/>
      <c r="S47" s="96"/>
      <c r="T47" s="96"/>
      <c r="U47" s="96"/>
      <c r="V47" s="94"/>
      <c r="W47" s="15"/>
      <c r="X47" s="24"/>
      <c r="Y47" s="41"/>
      <c r="Z47" s="273"/>
      <c r="AA47" s="39"/>
      <c r="AB47" s="39"/>
    </row>
    <row r="48" spans="1:28" ht="37.5">
      <c r="A48" s="282">
        <v>14</v>
      </c>
      <c r="B48" s="124">
        <v>2</v>
      </c>
      <c r="C48" s="98" t="s">
        <v>77</v>
      </c>
      <c r="D48" s="42">
        <f t="shared" si="9"/>
        <v>2071</v>
      </c>
      <c r="E48" s="102">
        <v>5</v>
      </c>
      <c r="F48" s="103">
        <v>198719</v>
      </c>
      <c r="G48" s="15"/>
      <c r="H48" s="15"/>
      <c r="I48" s="15"/>
      <c r="J48" s="15"/>
      <c r="K48" s="104">
        <v>2071</v>
      </c>
      <c r="L48" s="105">
        <v>3187818</v>
      </c>
      <c r="M48" s="61"/>
      <c r="N48" s="79"/>
      <c r="O48" s="14"/>
      <c r="P48" s="14"/>
      <c r="Q48" s="61"/>
      <c r="R48" s="85"/>
      <c r="S48" s="96"/>
      <c r="T48" s="96"/>
      <c r="U48" s="96"/>
      <c r="V48" s="94"/>
      <c r="W48" s="15"/>
      <c r="X48" s="24"/>
      <c r="Y48" s="41"/>
      <c r="Z48" s="273"/>
      <c r="AA48" s="39"/>
      <c r="AB48" s="39"/>
    </row>
    <row r="49" spans="1:29">
      <c r="A49" s="282">
        <v>15</v>
      </c>
      <c r="B49" s="124">
        <v>2</v>
      </c>
      <c r="C49" s="98" t="s">
        <v>78</v>
      </c>
      <c r="D49" s="42">
        <f t="shared" si="9"/>
        <v>1117</v>
      </c>
      <c r="E49" s="102">
        <v>2</v>
      </c>
      <c r="F49" s="103">
        <v>79488</v>
      </c>
      <c r="G49" s="15"/>
      <c r="H49" s="15"/>
      <c r="I49" s="15"/>
      <c r="J49" s="15"/>
      <c r="K49" s="104">
        <v>1117</v>
      </c>
      <c r="L49" s="105">
        <v>1489074</v>
      </c>
      <c r="M49" s="61"/>
      <c r="N49" s="79"/>
      <c r="O49" s="14"/>
      <c r="P49" s="14"/>
      <c r="Q49" s="61"/>
      <c r="R49" s="85"/>
      <c r="S49" s="96"/>
      <c r="T49" s="96"/>
      <c r="U49" s="96"/>
      <c r="V49" s="94"/>
      <c r="W49" s="15"/>
      <c r="X49" s="24"/>
      <c r="Y49" s="41"/>
      <c r="Z49" s="273"/>
      <c r="AA49" s="39"/>
      <c r="AB49" s="39"/>
    </row>
    <row r="50" spans="1:29">
      <c r="A50" s="282">
        <v>16</v>
      </c>
      <c r="B50" s="124">
        <v>2</v>
      </c>
      <c r="C50" s="98" t="s">
        <v>79</v>
      </c>
      <c r="D50" s="42">
        <f t="shared" si="9"/>
        <v>1581</v>
      </c>
      <c r="E50" s="102">
        <v>3</v>
      </c>
      <c r="F50" s="103">
        <v>202023</v>
      </c>
      <c r="G50" s="15"/>
      <c r="H50" s="15"/>
      <c r="I50" s="15"/>
      <c r="J50" s="15"/>
      <c r="K50" s="104">
        <v>1581</v>
      </c>
      <c r="L50" s="105">
        <v>2134094</v>
      </c>
      <c r="M50" s="61"/>
      <c r="N50" s="79"/>
      <c r="O50" s="14"/>
      <c r="P50" s="14"/>
      <c r="Q50" s="61"/>
      <c r="R50" s="85"/>
      <c r="S50" s="96"/>
      <c r="T50" s="96"/>
      <c r="U50" s="96"/>
      <c r="V50" s="94"/>
      <c r="W50" s="15"/>
      <c r="X50" s="24"/>
      <c r="Y50" s="41"/>
      <c r="Z50" s="273"/>
      <c r="AA50" s="39"/>
      <c r="AB50" s="39"/>
    </row>
    <row r="51" spans="1:29">
      <c r="A51" s="282">
        <v>17</v>
      </c>
      <c r="B51" s="124">
        <v>1</v>
      </c>
      <c r="C51" s="98" t="s">
        <v>80</v>
      </c>
      <c r="D51" s="42">
        <f t="shared" si="9"/>
        <v>1549</v>
      </c>
      <c r="E51" s="102">
        <v>3</v>
      </c>
      <c r="F51" s="103">
        <v>119232</v>
      </c>
      <c r="G51" s="15"/>
      <c r="H51" s="15"/>
      <c r="I51" s="15"/>
      <c r="J51" s="15"/>
      <c r="K51" s="104">
        <v>1549</v>
      </c>
      <c r="L51" s="105">
        <v>2092427</v>
      </c>
      <c r="M51" s="61"/>
      <c r="N51" s="79"/>
      <c r="O51" s="14"/>
      <c r="P51" s="14"/>
      <c r="Q51" s="61"/>
      <c r="R51" s="85"/>
      <c r="S51" s="96"/>
      <c r="T51" s="96"/>
      <c r="U51" s="96"/>
      <c r="V51" s="94"/>
      <c r="W51" s="15"/>
      <c r="X51" s="24"/>
      <c r="Y51" s="41"/>
      <c r="Z51" s="273"/>
      <c r="AA51" s="39"/>
      <c r="AB51" s="39"/>
    </row>
    <row r="52" spans="1:29">
      <c r="A52" s="282">
        <v>18</v>
      </c>
      <c r="B52" s="124">
        <v>1</v>
      </c>
      <c r="C52" s="98" t="s">
        <v>81</v>
      </c>
      <c r="D52" s="42">
        <f t="shared" si="9"/>
        <v>965</v>
      </c>
      <c r="E52" s="102">
        <v>0</v>
      </c>
      <c r="F52" s="103">
        <f t="shared" ref="F52" si="10">E52*51324</f>
        <v>0</v>
      </c>
      <c r="G52" s="15"/>
      <c r="H52" s="15"/>
      <c r="I52" s="15"/>
      <c r="J52" s="15"/>
      <c r="K52" s="104">
        <v>965</v>
      </c>
      <c r="L52" s="105">
        <v>1402908</v>
      </c>
      <c r="M52" s="61"/>
      <c r="N52" s="79"/>
      <c r="O52" s="14"/>
      <c r="P52" s="14"/>
      <c r="Q52" s="61"/>
      <c r="R52" s="85"/>
      <c r="S52" s="96"/>
      <c r="T52" s="96"/>
      <c r="U52" s="96"/>
      <c r="V52" s="94"/>
      <c r="W52" s="15"/>
      <c r="X52" s="24"/>
      <c r="Y52" s="41"/>
      <c r="Z52" s="273"/>
      <c r="AA52" s="39"/>
      <c r="AB52" s="39"/>
    </row>
    <row r="53" spans="1:29">
      <c r="A53" s="282">
        <v>19</v>
      </c>
      <c r="B53" s="124">
        <v>1</v>
      </c>
      <c r="C53" s="98" t="s">
        <v>82</v>
      </c>
      <c r="D53" s="42">
        <f t="shared" si="9"/>
        <v>880</v>
      </c>
      <c r="E53" s="102">
        <v>1</v>
      </c>
      <c r="F53" s="103">
        <v>60000</v>
      </c>
      <c r="G53" s="15"/>
      <c r="H53" s="15"/>
      <c r="I53" s="15"/>
      <c r="J53" s="15"/>
      <c r="K53" s="104">
        <v>880</v>
      </c>
      <c r="L53" s="105">
        <v>1263096</v>
      </c>
      <c r="M53" s="61"/>
      <c r="N53" s="79"/>
      <c r="O53" s="14"/>
      <c r="P53" s="14"/>
      <c r="Q53" s="61"/>
      <c r="R53" s="301" t="s">
        <v>238</v>
      </c>
      <c r="S53" s="96"/>
      <c r="T53" s="96"/>
      <c r="U53" s="96"/>
      <c r="V53" s="94"/>
      <c r="W53" s="15"/>
      <c r="X53" s="24"/>
      <c r="Y53" s="41"/>
      <c r="Z53" s="273"/>
      <c r="AB53" s="39"/>
    </row>
    <row r="54" spans="1:29">
      <c r="A54" s="282">
        <v>20</v>
      </c>
      <c r="B54" s="124">
        <v>1</v>
      </c>
      <c r="C54" s="98" t="s">
        <v>83</v>
      </c>
      <c r="D54" s="42">
        <f t="shared" si="9"/>
        <v>1416</v>
      </c>
      <c r="E54" s="102">
        <v>2</v>
      </c>
      <c r="F54" s="103">
        <v>79488</v>
      </c>
      <c r="G54" s="15"/>
      <c r="H54" s="15"/>
      <c r="I54" s="15"/>
      <c r="J54" s="15"/>
      <c r="K54" s="104">
        <v>1416</v>
      </c>
      <c r="L54" s="105">
        <v>2045937</v>
      </c>
      <c r="M54" s="61"/>
      <c r="N54" s="79"/>
      <c r="O54" s="14"/>
      <c r="P54" s="14"/>
      <c r="Q54" s="61"/>
      <c r="R54" s="85"/>
      <c r="S54" s="96"/>
      <c r="T54" s="96"/>
      <c r="U54" s="96"/>
      <c r="V54" s="94"/>
      <c r="W54" s="15"/>
      <c r="X54" s="24"/>
      <c r="Y54" s="41"/>
      <c r="Z54" s="273"/>
      <c r="AA54" s="39"/>
      <c r="AB54" s="39"/>
    </row>
    <row r="55" spans="1:29">
      <c r="A55" s="282">
        <v>21</v>
      </c>
      <c r="B55" s="124">
        <v>1</v>
      </c>
      <c r="C55" s="98" t="s">
        <v>84</v>
      </c>
      <c r="D55" s="42">
        <f t="shared" si="9"/>
        <v>1138</v>
      </c>
      <c r="E55" s="102">
        <v>1</v>
      </c>
      <c r="F55" s="103">
        <v>58366</v>
      </c>
      <c r="G55" s="15"/>
      <c r="H55" s="15"/>
      <c r="I55" s="15"/>
      <c r="J55" s="15"/>
      <c r="K55" s="104">
        <v>1138</v>
      </c>
      <c r="L55" s="105">
        <v>1951419</v>
      </c>
      <c r="M55" s="61"/>
      <c r="N55" s="79"/>
      <c r="O55" s="14"/>
      <c r="P55" s="14"/>
      <c r="Q55" s="61"/>
      <c r="R55" s="85"/>
      <c r="S55" s="96"/>
      <c r="T55" s="96"/>
      <c r="U55" s="96"/>
      <c r="V55" s="94"/>
      <c r="W55" s="15"/>
      <c r="X55" s="24"/>
      <c r="Y55" s="41"/>
      <c r="Z55" s="273"/>
      <c r="AA55" s="39"/>
      <c r="AB55" s="39"/>
    </row>
    <row r="56" spans="1:29">
      <c r="A56" s="282">
        <v>22</v>
      </c>
      <c r="B56" s="124">
        <v>1</v>
      </c>
      <c r="C56" s="98" t="s">
        <v>85</v>
      </c>
      <c r="D56" s="42">
        <f t="shared" si="9"/>
        <v>2528</v>
      </c>
      <c r="E56" s="102">
        <v>2</v>
      </c>
      <c r="F56" s="103">
        <v>79488</v>
      </c>
      <c r="G56" s="15"/>
      <c r="H56" s="15"/>
      <c r="I56" s="15"/>
      <c r="J56" s="15"/>
      <c r="K56" s="104">
        <v>2528</v>
      </c>
      <c r="L56" s="105">
        <v>3175658</v>
      </c>
      <c r="M56" s="61"/>
      <c r="N56" s="79">
        <v>1300000</v>
      </c>
      <c r="O56" s="14"/>
      <c r="P56" s="14"/>
      <c r="Q56" s="61"/>
      <c r="R56" s="85"/>
      <c r="S56" s="96"/>
      <c r="T56" s="96"/>
      <c r="U56" s="96"/>
      <c r="V56" s="94"/>
      <c r="W56" s="15"/>
      <c r="X56" s="24"/>
      <c r="Y56" s="41"/>
      <c r="Z56" s="273"/>
      <c r="AA56" s="39"/>
      <c r="AB56" s="39"/>
    </row>
    <row r="57" spans="1:29">
      <c r="A57" s="282">
        <v>23</v>
      </c>
      <c r="B57" s="124">
        <v>1</v>
      </c>
      <c r="C57" s="98" t="s">
        <v>86</v>
      </c>
      <c r="D57" s="42">
        <f t="shared" si="9"/>
        <v>1135</v>
      </c>
      <c r="E57" s="102">
        <v>4</v>
      </c>
      <c r="F57" s="103">
        <v>205485</v>
      </c>
      <c r="G57" s="15"/>
      <c r="H57" s="15"/>
      <c r="I57" s="15"/>
      <c r="J57" s="15"/>
      <c r="K57" s="104">
        <v>1135</v>
      </c>
      <c r="L57" s="105">
        <v>1636626</v>
      </c>
      <c r="M57" s="61"/>
      <c r="N57" s="79"/>
      <c r="O57" s="14"/>
      <c r="P57" s="14"/>
      <c r="Q57" s="61"/>
      <c r="R57" s="85"/>
      <c r="S57" s="96"/>
      <c r="T57" s="96"/>
      <c r="U57" s="96"/>
      <c r="V57" s="94"/>
      <c r="W57" s="15"/>
      <c r="X57" s="24"/>
      <c r="Y57" s="41"/>
      <c r="Z57" s="273"/>
      <c r="AA57" s="39"/>
      <c r="AB57" s="39"/>
    </row>
    <row r="58" spans="1:29">
      <c r="A58" s="282">
        <v>24</v>
      </c>
      <c r="B58" s="124">
        <v>1</v>
      </c>
      <c r="C58" s="98" t="s">
        <v>87</v>
      </c>
      <c r="D58" s="42">
        <f t="shared" si="9"/>
        <v>1660</v>
      </c>
      <c r="E58" s="102">
        <v>2</v>
      </c>
      <c r="F58" s="103">
        <v>116732</v>
      </c>
      <c r="G58" s="15"/>
      <c r="H58" s="15"/>
      <c r="I58" s="15"/>
      <c r="J58" s="15"/>
      <c r="K58" s="104">
        <v>1660</v>
      </c>
      <c r="L58" s="105">
        <v>2073506</v>
      </c>
      <c r="M58" s="61"/>
      <c r="N58" s="79"/>
      <c r="O58" s="14"/>
      <c r="P58" s="14"/>
      <c r="Q58" s="61"/>
      <c r="R58" s="85"/>
      <c r="S58" s="96"/>
      <c r="T58" s="96"/>
      <c r="U58" s="96"/>
      <c r="V58" s="94"/>
      <c r="W58" s="15"/>
      <c r="X58" s="24"/>
      <c r="Y58" s="41"/>
      <c r="Z58" s="273"/>
      <c r="AA58" s="39"/>
      <c r="AB58" s="39"/>
    </row>
    <row r="59" spans="1:29">
      <c r="A59" s="282">
        <v>25</v>
      </c>
      <c r="B59" s="124">
        <v>2</v>
      </c>
      <c r="C59" s="98" t="s">
        <v>88</v>
      </c>
      <c r="D59" s="42">
        <f t="shared" si="9"/>
        <v>1968</v>
      </c>
      <c r="E59" s="102">
        <v>6</v>
      </c>
      <c r="F59" s="103">
        <v>321254</v>
      </c>
      <c r="G59" s="15"/>
      <c r="H59" s="15"/>
      <c r="I59" s="15"/>
      <c r="J59" s="15"/>
      <c r="K59" s="104">
        <v>1968</v>
      </c>
      <c r="L59" s="105">
        <v>2790478</v>
      </c>
      <c r="M59" s="61"/>
      <c r="N59" s="79">
        <v>1300000</v>
      </c>
      <c r="O59" s="14"/>
      <c r="P59" s="14"/>
      <c r="Q59" s="61"/>
      <c r="R59" s="85"/>
      <c r="S59" s="96"/>
      <c r="T59" s="96"/>
      <c r="U59" s="96"/>
      <c r="V59" s="94"/>
      <c r="W59" s="15"/>
      <c r="X59" s="24"/>
      <c r="Y59" s="41"/>
      <c r="Z59" s="273"/>
      <c r="AA59" s="39"/>
      <c r="AB59" s="39"/>
    </row>
    <row r="60" spans="1:29">
      <c r="A60" s="282">
        <v>26</v>
      </c>
      <c r="B60" s="124">
        <v>2</v>
      </c>
      <c r="C60" s="98" t="s">
        <v>89</v>
      </c>
      <c r="D60" s="42">
        <f t="shared" si="9"/>
        <v>3250</v>
      </c>
      <c r="E60" s="102">
        <v>1</v>
      </c>
      <c r="F60" s="103">
        <v>39744</v>
      </c>
      <c r="G60" s="15"/>
      <c r="H60" s="15"/>
      <c r="I60" s="15"/>
      <c r="J60" s="15"/>
      <c r="K60" s="104">
        <v>3250</v>
      </c>
      <c r="L60" s="105">
        <v>4459348</v>
      </c>
      <c r="M60" s="61"/>
      <c r="N60" s="79">
        <v>1300000</v>
      </c>
      <c r="O60" s="14"/>
      <c r="P60" s="14"/>
      <c r="Q60" s="61"/>
      <c r="R60" s="85"/>
      <c r="S60" s="96"/>
      <c r="T60" s="96"/>
      <c r="U60" s="96"/>
      <c r="V60" s="94"/>
      <c r="W60" s="15"/>
      <c r="X60" s="24"/>
      <c r="Y60" s="41"/>
      <c r="Z60" s="273"/>
      <c r="AA60" s="39"/>
      <c r="AB60" s="39"/>
    </row>
    <row r="61" spans="1:29" ht="36" customHeight="1">
      <c r="A61" s="282">
        <v>27</v>
      </c>
      <c r="B61" s="124">
        <v>2</v>
      </c>
      <c r="C61" s="115" t="s">
        <v>254</v>
      </c>
      <c r="D61" s="42">
        <f t="shared" si="9"/>
        <v>3820</v>
      </c>
      <c r="E61" s="102">
        <v>7</v>
      </c>
      <c r="F61" s="103">
        <v>371317</v>
      </c>
      <c r="G61" s="15"/>
      <c r="H61" s="15"/>
      <c r="I61" s="15"/>
      <c r="J61" s="15"/>
      <c r="K61" s="104">
        <v>3820</v>
      </c>
      <c r="L61" s="105">
        <v>5073895</v>
      </c>
      <c r="M61" s="61"/>
      <c r="N61" s="14">
        <v>1300000</v>
      </c>
      <c r="O61" s="14"/>
      <c r="P61" s="14"/>
      <c r="Q61" s="381" t="s">
        <v>244</v>
      </c>
      <c r="R61" s="382"/>
      <c r="S61" s="96"/>
      <c r="T61" s="96"/>
      <c r="U61" s="96"/>
      <c r="V61" s="94"/>
      <c r="W61" s="15"/>
      <c r="X61" s="24"/>
      <c r="Y61" s="41"/>
      <c r="Z61" s="273"/>
      <c r="AA61" s="39"/>
      <c r="AB61" s="39"/>
      <c r="AC61" s="272"/>
    </row>
    <row r="62" spans="1:29">
      <c r="A62" s="282">
        <v>28</v>
      </c>
      <c r="B62" s="124">
        <v>2</v>
      </c>
      <c r="C62" s="98" t="s">
        <v>91</v>
      </c>
      <c r="D62" s="42">
        <f t="shared" si="9"/>
        <v>2813</v>
      </c>
      <c r="E62" s="102">
        <v>2</v>
      </c>
      <c r="F62" s="103">
        <v>79488</v>
      </c>
      <c r="G62" s="15"/>
      <c r="H62" s="15"/>
      <c r="I62" s="15"/>
      <c r="J62" s="15"/>
      <c r="K62" s="104">
        <v>2813</v>
      </c>
      <c r="L62" s="105">
        <v>3845176</v>
      </c>
      <c r="M62" s="61"/>
      <c r="N62" s="79"/>
      <c r="O62" s="14"/>
      <c r="P62" s="14"/>
      <c r="Q62" s="61"/>
      <c r="R62" s="85"/>
      <c r="S62" s="96"/>
      <c r="T62" s="96"/>
      <c r="U62" s="96"/>
      <c r="V62" s="94"/>
      <c r="W62" s="15"/>
      <c r="X62" s="24"/>
      <c r="Y62" s="41"/>
      <c r="Z62" s="273"/>
      <c r="AA62" s="39"/>
      <c r="AB62" s="39"/>
    </row>
    <row r="63" spans="1:29">
      <c r="A63" s="282">
        <v>29</v>
      </c>
      <c r="B63" s="259">
        <v>4</v>
      </c>
      <c r="C63" s="115" t="s">
        <v>92</v>
      </c>
      <c r="D63" s="42">
        <f t="shared" si="9"/>
        <v>1363</v>
      </c>
      <c r="E63" s="102">
        <v>3</v>
      </c>
      <c r="F63" s="103">
        <v>119232</v>
      </c>
      <c r="G63" s="15"/>
      <c r="H63" s="15"/>
      <c r="I63" s="15"/>
      <c r="J63" s="15"/>
      <c r="K63" s="104">
        <v>1363</v>
      </c>
      <c r="L63" s="105">
        <v>1913426</v>
      </c>
      <c r="M63" s="61"/>
      <c r="N63" s="79"/>
      <c r="O63" s="14"/>
      <c r="P63" s="14"/>
      <c r="Q63" s="61"/>
      <c r="R63" s="85"/>
      <c r="S63" s="96"/>
      <c r="T63" s="96"/>
      <c r="U63" s="96"/>
      <c r="V63" s="94"/>
      <c r="W63" s="15"/>
      <c r="X63" s="24"/>
      <c r="Y63" s="41"/>
      <c r="Z63" s="273"/>
      <c r="AA63" s="39"/>
      <c r="AB63" s="39"/>
    </row>
    <row r="64" spans="1:29">
      <c r="A64" s="282">
        <v>30</v>
      </c>
      <c r="B64" s="124">
        <v>2</v>
      </c>
      <c r="C64" s="98" t="s">
        <v>93</v>
      </c>
      <c r="D64" s="42">
        <f t="shared" si="9"/>
        <v>2460</v>
      </c>
      <c r="E64" s="102">
        <v>4</v>
      </c>
      <c r="F64" s="103">
        <v>214842</v>
      </c>
      <c r="G64" s="15"/>
      <c r="H64" s="15"/>
      <c r="I64" s="15"/>
      <c r="J64" s="15"/>
      <c r="K64" s="104">
        <v>2460</v>
      </c>
      <c r="L64" s="105">
        <v>3371856</v>
      </c>
      <c r="M64" s="61"/>
      <c r="N64" s="79"/>
      <c r="O64" s="14"/>
      <c r="P64" s="14"/>
      <c r="Q64" s="61"/>
      <c r="R64" s="85"/>
      <c r="S64" s="96"/>
      <c r="T64" s="96"/>
      <c r="U64" s="96"/>
      <c r="V64" s="94"/>
      <c r="W64" s="15"/>
      <c r="X64" s="24"/>
      <c r="Y64" s="41"/>
      <c r="Z64" s="273"/>
      <c r="AA64" s="39"/>
      <c r="AB64" s="39"/>
    </row>
    <row r="65" spans="1:28" ht="37.5">
      <c r="A65" s="282">
        <v>31</v>
      </c>
      <c r="B65" s="124">
        <v>4</v>
      </c>
      <c r="C65" s="98" t="s">
        <v>94</v>
      </c>
      <c r="D65" s="42">
        <f t="shared" si="9"/>
        <v>5207</v>
      </c>
      <c r="E65" s="102">
        <v>6</v>
      </c>
      <c r="F65" s="103">
        <v>350195</v>
      </c>
      <c r="G65" s="15"/>
      <c r="H65" s="15"/>
      <c r="I65" s="15"/>
      <c r="J65" s="15"/>
      <c r="K65" s="104">
        <v>5207</v>
      </c>
      <c r="L65" s="105">
        <v>7036644</v>
      </c>
      <c r="M65" s="61"/>
      <c r="N65" s="79"/>
      <c r="O65" s="14"/>
      <c r="P65" s="14"/>
      <c r="Q65" s="61"/>
      <c r="R65" s="85"/>
      <c r="S65" s="96"/>
      <c r="T65" s="96"/>
      <c r="U65" s="96"/>
      <c r="V65" s="94"/>
      <c r="W65" s="15"/>
      <c r="X65" s="24"/>
      <c r="Y65" s="41"/>
      <c r="Z65" s="273"/>
      <c r="AA65" s="39"/>
      <c r="AB65" s="39"/>
    </row>
    <row r="66" spans="1:28">
      <c r="A66" s="282">
        <v>32</v>
      </c>
      <c r="B66" s="124">
        <v>1</v>
      </c>
      <c r="C66" s="98" t="s">
        <v>95</v>
      </c>
      <c r="D66" s="42">
        <f t="shared" si="9"/>
        <v>1943</v>
      </c>
      <c r="E66" s="102">
        <v>4</v>
      </c>
      <c r="F66" s="103">
        <v>158975</v>
      </c>
      <c r="G66" s="105">
        <f t="shared" ref="G66:I66" si="11">F66*1.125</f>
        <v>178846.875</v>
      </c>
      <c r="H66" s="104">
        <v>1937</v>
      </c>
      <c r="I66" s="105">
        <f t="shared" si="11"/>
        <v>2179.125</v>
      </c>
      <c r="J66" s="104">
        <v>1937</v>
      </c>
      <c r="K66" s="104">
        <v>1943</v>
      </c>
      <c r="L66" s="105">
        <v>2699075</v>
      </c>
      <c r="M66" s="61"/>
      <c r="N66" s="79"/>
      <c r="O66" s="14"/>
      <c r="P66" s="14"/>
      <c r="Q66" s="61"/>
      <c r="R66" s="85"/>
      <c r="S66" s="96"/>
      <c r="T66" s="96"/>
      <c r="U66" s="96"/>
      <c r="V66" s="94"/>
      <c r="W66" s="15"/>
      <c r="X66" s="24"/>
      <c r="Y66" s="41"/>
      <c r="Z66" s="273"/>
      <c r="AA66" s="39"/>
      <c r="AB66" s="39"/>
    </row>
    <row r="67" spans="1:28">
      <c r="A67" s="17">
        <v>32</v>
      </c>
      <c r="B67" s="19">
        <f>SUM(B35:B66)</f>
        <v>51</v>
      </c>
      <c r="C67" s="18" t="s">
        <v>4</v>
      </c>
      <c r="D67" s="20">
        <f t="shared" ref="D67:Q67" si="12">SUM(D35:D66)</f>
        <v>69592</v>
      </c>
      <c r="E67" s="20">
        <f t="shared" si="12"/>
        <v>99</v>
      </c>
      <c r="F67" s="20">
        <f t="shared" si="12"/>
        <v>5125002</v>
      </c>
      <c r="G67" s="20">
        <f t="shared" si="12"/>
        <v>178848.875</v>
      </c>
      <c r="H67" s="20">
        <f t="shared" si="12"/>
        <v>107443</v>
      </c>
      <c r="I67" s="20">
        <f t="shared" si="12"/>
        <v>2179.125</v>
      </c>
      <c r="J67" s="20">
        <f t="shared" si="12"/>
        <v>1937</v>
      </c>
      <c r="K67" s="20">
        <f t="shared" si="12"/>
        <v>69592</v>
      </c>
      <c r="L67" s="20">
        <f t="shared" si="12"/>
        <v>96874878</v>
      </c>
      <c r="M67" s="20">
        <f t="shared" si="12"/>
        <v>1500000</v>
      </c>
      <c r="N67" s="20">
        <f t="shared" si="12"/>
        <v>16900000</v>
      </c>
      <c r="O67" s="20">
        <f t="shared" si="12"/>
        <v>0</v>
      </c>
      <c r="P67" s="20">
        <f t="shared" si="12"/>
        <v>0</v>
      </c>
      <c r="Q67" s="20">
        <f t="shared" si="12"/>
        <v>0</v>
      </c>
      <c r="R67" s="20">
        <f>N67+M67+L67+F67</f>
        <v>120399880</v>
      </c>
      <c r="S67" s="95"/>
      <c r="T67" s="95"/>
      <c r="U67" s="95"/>
      <c r="V67" s="94"/>
      <c r="W67" s="21"/>
      <c r="X67" s="21"/>
      <c r="Y67" s="21"/>
      <c r="Z67" s="284"/>
      <c r="AA67" s="39"/>
      <c r="AB67" s="39"/>
    </row>
    <row r="68" spans="1:28">
      <c r="A68" s="383" t="s">
        <v>5</v>
      </c>
      <c r="B68" s="384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9"/>
      <c r="X68" s="39"/>
      <c r="Y68" s="41"/>
      <c r="Z68" s="283"/>
      <c r="AA68" s="39"/>
      <c r="AB68" s="39"/>
    </row>
    <row r="69" spans="1:28" ht="37.5">
      <c r="A69" s="302">
        <v>1</v>
      </c>
      <c r="B69" s="261">
        <v>3</v>
      </c>
      <c r="C69" s="91" t="s">
        <v>99</v>
      </c>
      <c r="D69" s="42">
        <f>K69+119.2+80</f>
        <v>5652.2</v>
      </c>
      <c r="E69" s="102">
        <v>6</v>
      </c>
      <c r="F69" s="103">
        <v>340354</v>
      </c>
      <c r="G69" s="6">
        <v>2</v>
      </c>
      <c r="H69" s="15">
        <f t="shared" ref="H69" si="13">52753*G69</f>
        <v>105506</v>
      </c>
      <c r="I69" s="6"/>
      <c r="J69" s="6"/>
      <c r="K69" s="104">
        <v>5453</v>
      </c>
      <c r="L69" s="105">
        <v>6863819</v>
      </c>
      <c r="M69" s="82">
        <v>1500000</v>
      </c>
      <c r="N69" s="81">
        <v>1300000</v>
      </c>
      <c r="O69" s="80"/>
      <c r="P69" s="80"/>
      <c r="Q69" s="61"/>
      <c r="R69" s="85"/>
      <c r="S69" s="96"/>
      <c r="T69" s="96"/>
      <c r="U69" s="96"/>
      <c r="V69" s="94"/>
      <c r="W69" s="6"/>
      <c r="X69" s="24"/>
      <c r="Y69" s="51"/>
      <c r="Z69" s="273"/>
      <c r="AA69" s="39"/>
      <c r="AB69" s="39"/>
    </row>
    <row r="70" spans="1:28">
      <c r="A70" s="302">
        <v>2</v>
      </c>
      <c r="B70" s="261">
        <v>1</v>
      </c>
      <c r="C70" s="91" t="s">
        <v>103</v>
      </c>
      <c r="D70" s="42">
        <f>K70+120</f>
        <v>1591</v>
      </c>
      <c r="E70" s="102">
        <v>1</v>
      </c>
      <c r="F70" s="103">
        <v>60000</v>
      </c>
      <c r="G70" s="7"/>
      <c r="H70" s="7"/>
      <c r="I70" s="7">
        <v>2</v>
      </c>
      <c r="J70" s="15">
        <f>46923*I70</f>
        <v>93846</v>
      </c>
      <c r="K70" s="104">
        <v>1471</v>
      </c>
      <c r="L70" s="105">
        <v>1804230</v>
      </c>
      <c r="M70" s="82"/>
      <c r="N70" s="81"/>
      <c r="O70" s="80"/>
      <c r="P70" s="80"/>
      <c r="Q70" s="61"/>
      <c r="R70" s="85"/>
      <c r="S70" s="96"/>
      <c r="T70" s="96"/>
      <c r="U70" s="96"/>
      <c r="V70" s="94"/>
      <c r="W70" s="222"/>
      <c r="X70" s="213"/>
      <c r="Y70" s="229"/>
      <c r="Z70" s="286"/>
      <c r="AA70" s="39"/>
      <c r="AB70" s="39"/>
    </row>
    <row r="71" spans="1:28">
      <c r="A71" s="302">
        <v>3</v>
      </c>
      <c r="B71" s="261">
        <v>1</v>
      </c>
      <c r="C71" s="91" t="s">
        <v>100</v>
      </c>
      <c r="D71" s="42">
        <f>K71+180</f>
        <v>1187</v>
      </c>
      <c r="E71" s="102">
        <v>0</v>
      </c>
      <c r="F71" s="103">
        <v>0</v>
      </c>
      <c r="G71" s="6">
        <v>4</v>
      </c>
      <c r="H71" s="15">
        <f t="shared" ref="H71" si="14">52753*G71</f>
        <v>211012</v>
      </c>
      <c r="I71" s="6"/>
      <c r="J71" s="6"/>
      <c r="K71" s="117">
        <v>1007</v>
      </c>
      <c r="L71" s="105">
        <v>1299378</v>
      </c>
      <c r="M71" s="82">
        <v>1500000</v>
      </c>
      <c r="N71" s="81"/>
      <c r="O71" s="80"/>
      <c r="P71" s="80"/>
      <c r="Q71" s="61"/>
      <c r="R71" s="85" t="s">
        <v>243</v>
      </c>
      <c r="S71" s="96"/>
      <c r="T71" s="96"/>
      <c r="U71" s="96"/>
      <c r="V71" s="94"/>
      <c r="W71" s="6"/>
      <c r="X71" s="24"/>
      <c r="Y71" s="51"/>
      <c r="Z71" s="273"/>
      <c r="AA71" s="39"/>
      <c r="AB71" s="39"/>
    </row>
    <row r="72" spans="1:28">
      <c r="A72" s="17">
        <v>3</v>
      </c>
      <c r="B72" s="19">
        <f>SUM(B69:B71)</f>
        <v>5</v>
      </c>
      <c r="C72" s="18" t="s">
        <v>4</v>
      </c>
      <c r="D72" s="20">
        <f>SUM(D69:D71)</f>
        <v>8430.2000000000007</v>
      </c>
      <c r="E72" s="20">
        <f>SUM(E69:E71)</f>
        <v>7</v>
      </c>
      <c r="F72" s="21">
        <f>F69+F70+F71</f>
        <v>400354</v>
      </c>
      <c r="G72" s="20">
        <f>SUM(G69:G71)</f>
        <v>6</v>
      </c>
      <c r="H72" s="20">
        <f>SUM(H69:H71)</f>
        <v>316518</v>
      </c>
      <c r="I72" s="20">
        <f>SUM(I69:I71)</f>
        <v>2</v>
      </c>
      <c r="J72" s="20">
        <f>SUM(J69:J71)</f>
        <v>93846</v>
      </c>
      <c r="K72" s="20">
        <f>K69+K70+K71</f>
        <v>7931</v>
      </c>
      <c r="L72" s="21">
        <f>L69+L70+L71</f>
        <v>9967427</v>
      </c>
      <c r="M72" s="21">
        <f>SUM(M69:M71)</f>
        <v>3000000</v>
      </c>
      <c r="N72" s="21">
        <f>SUM(N69:N71)</f>
        <v>1300000</v>
      </c>
      <c r="O72" s="21">
        <f>SUM(O69:O71)</f>
        <v>0</v>
      </c>
      <c r="P72" s="21">
        <f>SUM(P69:P71)</f>
        <v>0</v>
      </c>
      <c r="Q72" s="21">
        <f>SUM(Q69:Q71)</f>
        <v>0</v>
      </c>
      <c r="R72" s="21">
        <f>N72+M72+L72+F72</f>
        <v>14667781</v>
      </c>
      <c r="S72" s="21">
        <f t="shared" ref="S72:Z72" si="15">SUM(S69:S71)</f>
        <v>0</v>
      </c>
      <c r="T72" s="21">
        <f t="shared" si="15"/>
        <v>0</v>
      </c>
      <c r="U72" s="21">
        <f t="shared" si="15"/>
        <v>0</v>
      </c>
      <c r="V72" s="21">
        <f t="shared" si="15"/>
        <v>0</v>
      </c>
      <c r="W72" s="74">
        <f t="shared" si="15"/>
        <v>0</v>
      </c>
      <c r="X72" s="74">
        <f t="shared" si="15"/>
        <v>0</v>
      </c>
      <c r="Y72" s="74">
        <f t="shared" si="15"/>
        <v>0</v>
      </c>
      <c r="Z72" s="287">
        <f t="shared" si="15"/>
        <v>0</v>
      </c>
      <c r="AA72" s="39"/>
      <c r="AB72" s="39"/>
    </row>
    <row r="73" spans="1:28">
      <c r="A73" s="383" t="s">
        <v>11</v>
      </c>
      <c r="B73" s="384"/>
      <c r="C73" s="384"/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9"/>
      <c r="X73" s="39"/>
      <c r="Y73" s="41"/>
      <c r="Z73" s="283"/>
      <c r="AA73" s="39"/>
      <c r="AB73" s="39"/>
    </row>
    <row r="74" spans="1:28" s="27" customFormat="1">
      <c r="A74" s="282">
        <v>1</v>
      </c>
      <c r="B74" s="107">
        <v>1</v>
      </c>
      <c r="C74" s="98" t="s">
        <v>104</v>
      </c>
      <c r="D74" s="42">
        <f>K74+120</f>
        <v>5023</v>
      </c>
      <c r="E74" s="102">
        <v>2</v>
      </c>
      <c r="F74" s="103">
        <v>112315</v>
      </c>
      <c r="G74" s="8">
        <v>3</v>
      </c>
      <c r="H74" s="15">
        <f t="shared" ref="H74" si="16">52753*G74</f>
        <v>158259</v>
      </c>
      <c r="I74" s="8"/>
      <c r="J74" s="15"/>
      <c r="K74" s="104">
        <v>4903</v>
      </c>
      <c r="L74" s="105">
        <v>5870193</v>
      </c>
      <c r="M74" s="79">
        <v>1500000</v>
      </c>
      <c r="N74" s="386" t="s">
        <v>242</v>
      </c>
      <c r="O74" s="387"/>
      <c r="P74" s="387"/>
      <c r="Q74" s="387"/>
      <c r="R74" s="388"/>
      <c r="S74" s="96"/>
      <c r="T74" s="96"/>
      <c r="U74" s="96"/>
      <c r="V74" s="94"/>
      <c r="W74" s="8"/>
      <c r="X74" s="24"/>
      <c r="Y74" s="41"/>
      <c r="Z74" s="273"/>
      <c r="AA74" s="41"/>
      <c r="AB74" s="41"/>
    </row>
    <row r="75" spans="1:28" s="27" customFormat="1">
      <c r="A75" s="282">
        <v>2</v>
      </c>
      <c r="B75" s="107">
        <v>1</v>
      </c>
      <c r="C75" s="98" t="s">
        <v>257</v>
      </c>
      <c r="D75" s="42">
        <f t="shared" ref="D75:D77" si="17">K75+120</f>
        <v>5354</v>
      </c>
      <c r="E75" s="102">
        <v>1</v>
      </c>
      <c r="F75" s="103">
        <v>61385</v>
      </c>
      <c r="G75" s="8"/>
      <c r="H75" s="15"/>
      <c r="I75" s="8"/>
      <c r="J75" s="15"/>
      <c r="K75" s="104">
        <v>5234</v>
      </c>
      <c r="L75" s="105">
        <v>6019614</v>
      </c>
      <c r="M75" s="79"/>
      <c r="N75" s="386" t="s">
        <v>242</v>
      </c>
      <c r="O75" s="387"/>
      <c r="P75" s="387"/>
      <c r="Q75" s="387"/>
      <c r="R75" s="388"/>
      <c r="S75" s="96"/>
      <c r="T75" s="96"/>
      <c r="U75" s="96"/>
      <c r="V75" s="94"/>
      <c r="W75" s="8"/>
      <c r="X75" s="24"/>
      <c r="Y75" s="41"/>
      <c r="Z75" s="273"/>
      <c r="AA75" s="41"/>
      <c r="AB75" s="41"/>
    </row>
    <row r="76" spans="1:28" s="27" customFormat="1" ht="37.5">
      <c r="A76" s="282">
        <v>3</v>
      </c>
      <c r="B76" s="303">
        <v>3</v>
      </c>
      <c r="C76" s="98" t="s">
        <v>107</v>
      </c>
      <c r="D76" s="42">
        <f t="shared" si="17"/>
        <v>5695</v>
      </c>
      <c r="E76" s="102">
        <v>1</v>
      </c>
      <c r="F76" s="103">
        <v>56157</v>
      </c>
      <c r="G76" s="8"/>
      <c r="H76" s="15"/>
      <c r="I76" s="8"/>
      <c r="J76" s="15"/>
      <c r="K76" s="120">
        <v>5575</v>
      </c>
      <c r="L76" s="105">
        <v>8487778</v>
      </c>
      <c r="M76" s="79"/>
      <c r="N76" s="81"/>
      <c r="O76" s="8"/>
      <c r="P76" s="8"/>
      <c r="Q76" s="63"/>
      <c r="R76" s="85"/>
      <c r="S76" s="96"/>
      <c r="T76" s="96"/>
      <c r="U76" s="96"/>
      <c r="V76" s="94"/>
      <c r="W76" s="8"/>
      <c r="X76" s="24"/>
      <c r="Y76" s="41"/>
      <c r="Z76" s="273"/>
      <c r="AA76" s="41"/>
      <c r="AB76" s="41"/>
    </row>
    <row r="77" spans="1:28" s="27" customFormat="1">
      <c r="A77" s="282">
        <v>4</v>
      </c>
      <c r="B77" s="107">
        <v>2</v>
      </c>
      <c r="C77" s="98" t="s">
        <v>232</v>
      </c>
      <c r="D77" s="42">
        <f t="shared" si="17"/>
        <v>5040</v>
      </c>
      <c r="E77" s="102">
        <v>5</v>
      </c>
      <c r="F77" s="103">
        <v>280787</v>
      </c>
      <c r="G77" s="8"/>
      <c r="H77" s="15"/>
      <c r="I77" s="8"/>
      <c r="J77" s="15"/>
      <c r="K77" s="120">
        <v>4920</v>
      </c>
      <c r="L77" s="105">
        <v>6041692</v>
      </c>
      <c r="M77" s="79">
        <v>1500000</v>
      </c>
      <c r="N77" s="81"/>
      <c r="O77" s="8"/>
      <c r="P77" s="8"/>
      <c r="Q77" s="63"/>
      <c r="R77" s="85"/>
      <c r="S77" s="96"/>
      <c r="T77" s="96"/>
      <c r="U77" s="96"/>
      <c r="V77" s="94"/>
      <c r="W77" s="8"/>
      <c r="X77" s="24"/>
      <c r="Y77" s="41"/>
      <c r="Z77" s="273"/>
      <c r="AA77" s="41"/>
      <c r="AB77" s="41"/>
    </row>
    <row r="78" spans="1:28" s="27" customFormat="1" ht="37.5">
      <c r="A78" s="282">
        <v>5</v>
      </c>
      <c r="B78" s="107">
        <v>2</v>
      </c>
      <c r="C78" s="98" t="s">
        <v>124</v>
      </c>
      <c r="D78" s="42">
        <f>K78+120</f>
        <v>4331</v>
      </c>
      <c r="E78" s="102">
        <v>7</v>
      </c>
      <c r="F78" s="103">
        <v>393101</v>
      </c>
      <c r="G78" s="8"/>
      <c r="H78" s="15"/>
      <c r="I78" s="8"/>
      <c r="J78" s="15"/>
      <c r="K78" s="120">
        <v>4211</v>
      </c>
      <c r="L78" s="105">
        <v>5288625</v>
      </c>
      <c r="M78" s="79"/>
      <c r="N78" s="81"/>
      <c r="O78" s="8"/>
      <c r="P78" s="8"/>
      <c r="Q78" s="63"/>
      <c r="R78" s="85"/>
      <c r="S78" s="96"/>
      <c r="T78" s="96"/>
      <c r="U78" s="96"/>
      <c r="V78" s="94"/>
      <c r="W78" s="8"/>
      <c r="X78" s="24"/>
      <c r="Y78" s="41"/>
      <c r="Z78" s="273"/>
      <c r="AA78" s="41"/>
      <c r="AB78" s="41"/>
    </row>
    <row r="79" spans="1:28" s="27" customFormat="1">
      <c r="A79" s="282">
        <v>6</v>
      </c>
      <c r="B79" s="107">
        <v>1</v>
      </c>
      <c r="C79" s="98" t="s">
        <v>110</v>
      </c>
      <c r="D79" s="42">
        <f t="shared" ref="D79:D87" si="18">K79+120</f>
        <v>684</v>
      </c>
      <c r="E79" s="102">
        <v>1</v>
      </c>
      <c r="F79" s="103">
        <v>56157</v>
      </c>
      <c r="G79" s="8"/>
      <c r="H79" s="15"/>
      <c r="I79" s="8"/>
      <c r="J79" s="15"/>
      <c r="K79" s="120">
        <v>564</v>
      </c>
      <c r="L79" s="105">
        <v>602341</v>
      </c>
      <c r="M79" s="79"/>
      <c r="N79" s="81"/>
      <c r="O79" s="8"/>
      <c r="P79" s="8"/>
      <c r="Q79" s="63"/>
      <c r="R79" s="85"/>
      <c r="S79" s="96"/>
      <c r="T79" s="96"/>
      <c r="U79" s="96"/>
      <c r="V79" s="94"/>
      <c r="W79" s="8"/>
      <c r="X79" s="24"/>
      <c r="Y79" s="41"/>
      <c r="Z79" s="273"/>
      <c r="AA79" s="41"/>
      <c r="AB79" s="41"/>
    </row>
    <row r="80" spans="1:28" s="27" customFormat="1">
      <c r="A80" s="282">
        <v>7</v>
      </c>
      <c r="B80" s="107">
        <v>1</v>
      </c>
      <c r="C80" s="98" t="s">
        <v>240</v>
      </c>
      <c r="D80" s="42">
        <f t="shared" si="18"/>
        <v>2202</v>
      </c>
      <c r="E80" s="102">
        <v>0</v>
      </c>
      <c r="F80" s="103">
        <f t="shared" ref="F80:F86" si="19">E80*51324</f>
        <v>0</v>
      </c>
      <c r="G80" s="8"/>
      <c r="H80" s="15"/>
      <c r="I80" s="8"/>
      <c r="J80" s="15"/>
      <c r="K80" s="120">
        <v>2082</v>
      </c>
      <c r="L80" s="105">
        <v>2352660</v>
      </c>
      <c r="M80" s="79"/>
      <c r="N80" s="81"/>
      <c r="O80" s="8"/>
      <c r="P80" s="8"/>
      <c r="Q80" s="63"/>
      <c r="R80" s="85"/>
      <c r="S80" s="96"/>
      <c r="T80" s="96"/>
      <c r="U80" s="96"/>
      <c r="V80" s="94"/>
      <c r="W80" s="8"/>
      <c r="X80" s="24"/>
      <c r="Y80" s="41"/>
      <c r="Z80" s="273"/>
      <c r="AA80" s="41"/>
      <c r="AB80" s="41"/>
    </row>
    <row r="81" spans="1:28" s="27" customFormat="1">
      <c r="A81" s="282">
        <v>8</v>
      </c>
      <c r="B81" s="107">
        <v>3</v>
      </c>
      <c r="C81" s="98" t="s">
        <v>112</v>
      </c>
      <c r="D81" s="42">
        <f t="shared" si="18"/>
        <v>6408</v>
      </c>
      <c r="E81" s="102">
        <v>10</v>
      </c>
      <c r="F81" s="103">
        <v>561574</v>
      </c>
      <c r="G81" s="8"/>
      <c r="H81" s="15"/>
      <c r="I81" s="8"/>
      <c r="J81" s="15"/>
      <c r="K81" s="120">
        <v>6288</v>
      </c>
      <c r="L81" s="105">
        <v>7162014</v>
      </c>
      <c r="M81" s="79"/>
      <c r="N81" s="81"/>
      <c r="O81" s="8"/>
      <c r="P81" s="8"/>
      <c r="Q81" s="63"/>
      <c r="R81" s="85"/>
      <c r="S81" s="96"/>
      <c r="T81" s="96"/>
      <c r="U81" s="96"/>
      <c r="V81" s="94"/>
      <c r="W81" s="8"/>
      <c r="X81" s="24"/>
      <c r="Y81" s="41"/>
      <c r="Z81" s="273"/>
      <c r="AA81" s="41"/>
      <c r="AB81" s="41"/>
    </row>
    <row r="82" spans="1:28" s="27" customFormat="1">
      <c r="A82" s="282">
        <v>9</v>
      </c>
      <c r="B82" s="107">
        <v>1</v>
      </c>
      <c r="C82" s="98" t="s">
        <v>115</v>
      </c>
      <c r="D82" s="42">
        <f t="shared" si="18"/>
        <v>8204</v>
      </c>
      <c r="E82" s="102">
        <v>2</v>
      </c>
      <c r="F82" s="103">
        <v>112315</v>
      </c>
      <c r="G82" s="8"/>
      <c r="H82" s="15"/>
      <c r="I82" s="8"/>
      <c r="J82" s="15"/>
      <c r="K82" s="120">
        <v>8084</v>
      </c>
      <c r="L82" s="105">
        <v>9165272</v>
      </c>
      <c r="M82" s="79"/>
      <c r="N82" s="81"/>
      <c r="O82" s="8"/>
      <c r="P82" s="8"/>
      <c r="Q82" s="63"/>
      <c r="R82" s="85"/>
      <c r="S82" s="96"/>
      <c r="T82" s="96"/>
      <c r="U82" s="96"/>
      <c r="V82" s="94"/>
      <c r="W82" s="8"/>
      <c r="X82" s="24"/>
      <c r="Y82" s="41"/>
      <c r="Z82" s="273"/>
      <c r="AA82" s="41"/>
      <c r="AB82" s="41"/>
    </row>
    <row r="83" spans="1:28" s="27" customFormat="1">
      <c r="A83" s="282">
        <v>10</v>
      </c>
      <c r="B83" s="107">
        <v>3</v>
      </c>
      <c r="C83" s="304" t="s">
        <v>255</v>
      </c>
      <c r="D83" s="42">
        <f t="shared" si="18"/>
        <v>10329</v>
      </c>
      <c r="E83" s="102">
        <v>3</v>
      </c>
      <c r="F83" s="103">
        <v>201257</v>
      </c>
      <c r="G83" s="8"/>
      <c r="H83" s="15"/>
      <c r="I83" s="8"/>
      <c r="J83" s="15"/>
      <c r="K83" s="120">
        <v>10209</v>
      </c>
      <c r="L83" s="105">
        <v>11360819</v>
      </c>
      <c r="M83" s="79"/>
      <c r="N83" s="81"/>
      <c r="O83" s="8"/>
      <c r="P83" s="8"/>
      <c r="Q83" s="63"/>
      <c r="R83" s="85"/>
      <c r="S83" s="96"/>
      <c r="T83" s="96"/>
      <c r="U83" s="96"/>
      <c r="V83" s="94"/>
      <c r="W83" s="8"/>
      <c r="X83" s="24"/>
      <c r="Y83" s="41"/>
      <c r="Z83" s="273"/>
      <c r="AA83" s="41"/>
      <c r="AB83" s="41"/>
    </row>
    <row r="84" spans="1:28" s="27" customFormat="1" ht="45" customHeight="1">
      <c r="A84" s="282">
        <v>11</v>
      </c>
      <c r="B84" s="124">
        <v>2</v>
      </c>
      <c r="C84" s="98" t="s">
        <v>125</v>
      </c>
      <c r="D84" s="42">
        <f t="shared" si="18"/>
        <v>5115</v>
      </c>
      <c r="E84" s="102">
        <v>5</v>
      </c>
      <c r="F84" s="103">
        <v>280787</v>
      </c>
      <c r="G84" s="8"/>
      <c r="H84" s="15"/>
      <c r="I84" s="8"/>
      <c r="J84" s="15"/>
      <c r="K84" s="120">
        <v>4995</v>
      </c>
      <c r="L84" s="105">
        <v>6835373</v>
      </c>
      <c r="M84" s="79"/>
      <c r="N84" s="81"/>
      <c r="O84" s="8"/>
      <c r="P84" s="8"/>
      <c r="Q84" s="63">
        <v>3000000</v>
      </c>
      <c r="R84" s="85"/>
      <c r="S84" s="96"/>
      <c r="T84" s="96"/>
      <c r="U84" s="96"/>
      <c r="V84" s="94"/>
      <c r="W84" s="8"/>
      <c r="X84" s="24"/>
      <c r="Y84" s="41"/>
      <c r="Z84" s="273"/>
      <c r="AA84" s="290" t="s">
        <v>252</v>
      </c>
      <c r="AB84" s="41"/>
    </row>
    <row r="85" spans="1:28" s="27" customFormat="1">
      <c r="A85" s="282">
        <v>12</v>
      </c>
      <c r="B85" s="124">
        <v>3</v>
      </c>
      <c r="C85" s="304" t="s">
        <v>256</v>
      </c>
      <c r="D85" s="42">
        <f t="shared" si="18"/>
        <v>6340</v>
      </c>
      <c r="E85" s="102">
        <v>8</v>
      </c>
      <c r="F85" s="103">
        <v>449259</v>
      </c>
      <c r="G85" s="8"/>
      <c r="H85" s="15"/>
      <c r="I85" s="8"/>
      <c r="J85" s="15"/>
      <c r="K85" s="120">
        <v>6220</v>
      </c>
      <c r="L85" s="105">
        <v>8946385</v>
      </c>
      <c r="M85" s="79">
        <v>1500000</v>
      </c>
      <c r="N85" s="81">
        <v>1300000</v>
      </c>
      <c r="O85" s="8"/>
      <c r="P85" s="8"/>
      <c r="Q85" s="389" t="s">
        <v>242</v>
      </c>
      <c r="R85" s="390"/>
      <c r="S85" s="390"/>
      <c r="T85" s="390"/>
      <c r="U85" s="391"/>
      <c r="V85" s="94"/>
      <c r="W85" s="8"/>
      <c r="X85" s="24"/>
      <c r="Y85" s="41"/>
      <c r="Z85" s="273"/>
      <c r="AA85" s="41"/>
      <c r="AB85" s="41"/>
    </row>
    <row r="86" spans="1:28" s="27" customFormat="1" ht="29.25" customHeight="1">
      <c r="A86" s="282">
        <v>13</v>
      </c>
      <c r="B86" s="298">
        <v>3</v>
      </c>
      <c r="C86" s="116" t="s">
        <v>127</v>
      </c>
      <c r="D86" s="42">
        <f t="shared" si="18"/>
        <v>5395</v>
      </c>
      <c r="E86" s="102">
        <v>0</v>
      </c>
      <c r="F86" s="103">
        <f t="shared" si="19"/>
        <v>0</v>
      </c>
      <c r="G86" s="8"/>
      <c r="H86" s="15"/>
      <c r="I86" s="8"/>
      <c r="J86" s="15"/>
      <c r="K86" s="121">
        <v>5275</v>
      </c>
      <c r="L86" s="105">
        <v>597062</v>
      </c>
      <c r="M86" s="79"/>
      <c r="N86" s="81"/>
      <c r="O86" s="8"/>
      <c r="P86" s="8"/>
      <c r="Q86" s="63"/>
      <c r="R86" s="85"/>
      <c r="S86" s="96"/>
      <c r="T86" s="96"/>
      <c r="U86" s="96"/>
      <c r="V86" s="94"/>
      <c r="W86" s="8"/>
      <c r="X86" s="24"/>
      <c r="Y86" s="41"/>
      <c r="Z86" s="273"/>
      <c r="AA86" s="290" t="s">
        <v>251</v>
      </c>
      <c r="AB86" s="41"/>
    </row>
    <row r="87" spans="1:28" s="27" customFormat="1">
      <c r="A87" s="282">
        <v>14</v>
      </c>
      <c r="B87" s="124">
        <v>1</v>
      </c>
      <c r="C87" s="98" t="s">
        <v>128</v>
      </c>
      <c r="D87" s="42">
        <f t="shared" si="18"/>
        <v>4984</v>
      </c>
      <c r="E87" s="102">
        <v>5</v>
      </c>
      <c r="F87" s="103">
        <v>280787</v>
      </c>
      <c r="G87" s="8"/>
      <c r="H87" s="15"/>
      <c r="I87" s="8"/>
      <c r="J87" s="15"/>
      <c r="K87" s="121">
        <v>4864</v>
      </c>
      <c r="L87" s="105">
        <v>6429438</v>
      </c>
      <c r="M87" s="79">
        <v>1500000</v>
      </c>
      <c r="N87" s="81"/>
      <c r="O87" s="8"/>
      <c r="P87" s="8"/>
      <c r="Q87" s="63"/>
      <c r="R87" s="85"/>
      <c r="S87" s="96"/>
      <c r="T87" s="96"/>
      <c r="U87" s="96"/>
      <c r="V87" s="94"/>
      <c r="W87" s="8"/>
      <c r="X87" s="24"/>
      <c r="Y87" s="41"/>
      <c r="Z87" s="273"/>
      <c r="AA87" s="41"/>
      <c r="AB87" s="41"/>
    </row>
    <row r="88" spans="1:28" s="27" customFormat="1">
      <c r="A88" s="282">
        <v>15</v>
      </c>
      <c r="B88" s="124">
        <v>1</v>
      </c>
      <c r="C88" s="98" t="s">
        <v>117</v>
      </c>
      <c r="D88" s="42">
        <f t="shared" ref="D88:D91" si="20">K88</f>
        <v>3933</v>
      </c>
      <c r="E88" s="102">
        <v>0</v>
      </c>
      <c r="F88" s="103">
        <f t="shared" ref="F88" si="21">E88*51.324</f>
        <v>0</v>
      </c>
      <c r="G88" s="8"/>
      <c r="H88" s="15"/>
      <c r="I88" s="8"/>
      <c r="J88" s="15"/>
      <c r="K88" s="120">
        <v>3933</v>
      </c>
      <c r="L88" s="105">
        <v>4876719</v>
      </c>
      <c r="M88" s="79"/>
      <c r="N88" s="81"/>
      <c r="O88" s="8"/>
      <c r="P88" s="8"/>
      <c r="Q88" s="63"/>
      <c r="R88" s="85"/>
      <c r="S88" s="96"/>
      <c r="T88" s="96"/>
      <c r="U88" s="96"/>
      <c r="V88" s="94"/>
      <c r="W88" s="8"/>
      <c r="X88" s="24"/>
      <c r="Y88" s="41"/>
      <c r="Z88" s="273"/>
      <c r="AA88" s="41"/>
      <c r="AB88" s="41"/>
    </row>
    <row r="89" spans="1:28" s="27" customFormat="1">
      <c r="A89" s="282">
        <v>16</v>
      </c>
      <c r="B89" s="124">
        <v>1</v>
      </c>
      <c r="C89" s="98" t="s">
        <v>121</v>
      </c>
      <c r="D89" s="42">
        <f t="shared" si="20"/>
        <v>1983</v>
      </c>
      <c r="E89" s="102">
        <v>1</v>
      </c>
      <c r="F89" s="103">
        <v>75268</v>
      </c>
      <c r="G89" s="8"/>
      <c r="H89" s="15"/>
      <c r="I89" s="8"/>
      <c r="J89" s="15"/>
      <c r="K89" s="120">
        <v>1983</v>
      </c>
      <c r="L89" s="105">
        <v>2136945</v>
      </c>
      <c r="M89" s="79"/>
      <c r="N89" s="81"/>
      <c r="O89" s="8"/>
      <c r="P89" s="8"/>
      <c r="Q89" s="63"/>
      <c r="R89" s="85"/>
      <c r="S89" s="96"/>
      <c r="T89" s="96"/>
      <c r="U89" s="96"/>
      <c r="V89" s="94"/>
      <c r="W89" s="8"/>
      <c r="X89" s="24"/>
      <c r="Y89" s="41"/>
      <c r="Z89" s="273"/>
      <c r="AA89" s="41"/>
      <c r="AB89" s="41"/>
    </row>
    <row r="90" spans="1:28" s="27" customFormat="1">
      <c r="A90" s="282">
        <v>17</v>
      </c>
      <c r="B90" s="124">
        <v>1</v>
      </c>
      <c r="C90" s="98" t="s">
        <v>247</v>
      </c>
      <c r="D90" s="42">
        <f t="shared" si="20"/>
        <v>1091</v>
      </c>
      <c r="E90" s="102">
        <v>1</v>
      </c>
      <c r="F90" s="103">
        <v>56157.3</v>
      </c>
      <c r="G90" s="8"/>
      <c r="H90" s="15"/>
      <c r="I90" s="8"/>
      <c r="J90" s="15"/>
      <c r="K90" s="120">
        <v>1091</v>
      </c>
      <c r="L90" s="105">
        <v>1289533.52</v>
      </c>
      <c r="M90" s="79"/>
      <c r="N90" s="81" t="s">
        <v>249</v>
      </c>
      <c r="O90" s="8"/>
      <c r="P90" s="8"/>
      <c r="Q90" s="63"/>
      <c r="R90" s="85"/>
      <c r="S90" s="96"/>
      <c r="T90" s="96"/>
      <c r="U90" s="96"/>
      <c r="V90" s="94"/>
      <c r="W90" s="8"/>
      <c r="X90" s="24"/>
      <c r="Y90" s="41"/>
      <c r="Z90" s="273"/>
      <c r="AA90" s="41"/>
      <c r="AB90" s="41"/>
    </row>
    <row r="91" spans="1:28" s="27" customFormat="1">
      <c r="A91" s="282">
        <v>18</v>
      </c>
      <c r="B91" s="124">
        <v>3</v>
      </c>
      <c r="C91" s="98" t="s">
        <v>248</v>
      </c>
      <c r="D91" s="42">
        <f t="shared" si="20"/>
        <v>2396</v>
      </c>
      <c r="E91" s="102">
        <v>1</v>
      </c>
      <c r="F91" s="103">
        <v>56157.3</v>
      </c>
      <c r="G91" s="8"/>
      <c r="H91" s="15"/>
      <c r="I91" s="8"/>
      <c r="J91" s="15"/>
      <c r="K91" s="120">
        <v>2396</v>
      </c>
      <c r="L91" s="105">
        <v>3070845.08</v>
      </c>
      <c r="M91" s="79"/>
      <c r="N91" s="81" t="s">
        <v>249</v>
      </c>
      <c r="O91" s="8"/>
      <c r="P91" s="8"/>
      <c r="Q91" s="63"/>
      <c r="R91" s="85"/>
      <c r="S91" s="96"/>
      <c r="T91" s="96"/>
      <c r="U91" s="96"/>
      <c r="V91" s="94"/>
      <c r="W91" s="8"/>
      <c r="X91" s="24"/>
      <c r="Y91" s="41"/>
      <c r="Z91" s="273"/>
      <c r="AA91" s="41"/>
      <c r="AB91" s="41"/>
    </row>
    <row r="92" spans="1:28">
      <c r="A92" s="17">
        <v>18</v>
      </c>
      <c r="B92" s="305">
        <f>B74+B75+B76+B77+B78+B79+B80+B81+B82+B83+B84+B85+B86+B87+B88+B89+B90+B91</f>
        <v>33</v>
      </c>
      <c r="C92" s="18" t="s">
        <v>4</v>
      </c>
      <c r="D92" s="20">
        <f>SUM(D74:D91)</f>
        <v>84507</v>
      </c>
      <c r="E92" s="20">
        <f>E74+E75+E76+E77+E78+E79+E80+E81+E82+E83+E84+E85+E86+E87+E88+E89+E90+E91</f>
        <v>53</v>
      </c>
      <c r="F92" s="20">
        <f>SUM(F74:F91)</f>
        <v>3033463.5999999996</v>
      </c>
      <c r="G92" s="20">
        <f>SUM(G74:G91)</f>
        <v>3</v>
      </c>
      <c r="H92" s="20">
        <f>SUM(H74:H91)</f>
        <v>158259</v>
      </c>
      <c r="I92" s="20">
        <f>SUM(I74:I91)</f>
        <v>0</v>
      </c>
      <c r="J92" s="20">
        <f>SUM(J74:J91)</f>
        <v>0</v>
      </c>
      <c r="K92" s="20">
        <f>K74+K75+K76+K77+K78+K79+K81+K82+K83+K84+K85+K80+K86+K87+K88+K89</f>
        <v>79340</v>
      </c>
      <c r="L92" s="20">
        <f t="shared" ref="L92:Q92" si="22">SUM(L74:L91)</f>
        <v>96533308.599999994</v>
      </c>
      <c r="M92" s="20">
        <f t="shared" si="22"/>
        <v>6000000</v>
      </c>
      <c r="N92" s="20">
        <f t="shared" si="22"/>
        <v>1300000</v>
      </c>
      <c r="O92" s="20">
        <f t="shared" si="22"/>
        <v>0</v>
      </c>
      <c r="P92" s="20">
        <f t="shared" si="22"/>
        <v>0</v>
      </c>
      <c r="Q92" s="20">
        <f t="shared" si="22"/>
        <v>3000000</v>
      </c>
      <c r="R92" s="20">
        <f>N92+M92+L92+F92+Q92</f>
        <v>109866772.19999999</v>
      </c>
      <c r="S92" s="95"/>
      <c r="T92" s="95"/>
      <c r="U92" s="95"/>
      <c r="V92" s="94"/>
      <c r="W92" s="21"/>
      <c r="X92" s="21"/>
      <c r="Y92" s="21"/>
      <c r="Z92" s="284"/>
      <c r="AA92" s="39"/>
      <c r="AB92" s="39"/>
    </row>
    <row r="93" spans="1:28">
      <c r="A93" s="383" t="s">
        <v>14</v>
      </c>
      <c r="B93" s="384"/>
      <c r="C93" s="384"/>
      <c r="D93" s="384"/>
      <c r="E93" s="384"/>
      <c r="F93" s="384"/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40"/>
      <c r="X93" s="40"/>
      <c r="Y93" s="41"/>
      <c r="Z93" s="283"/>
      <c r="AA93" s="39"/>
      <c r="AB93" s="39"/>
    </row>
    <row r="94" spans="1:28" s="27" customFormat="1">
      <c r="A94" s="282">
        <v>1</v>
      </c>
      <c r="B94" s="124">
        <v>1</v>
      </c>
      <c r="C94" s="98" t="s">
        <v>129</v>
      </c>
      <c r="D94" s="42">
        <f>K94</f>
        <v>2562</v>
      </c>
      <c r="E94" s="102">
        <v>4</v>
      </c>
      <c r="F94" s="103">
        <v>150173</v>
      </c>
      <c r="G94" s="267"/>
      <c r="H94" s="267"/>
      <c r="I94" s="267"/>
      <c r="J94" s="267"/>
      <c r="K94" s="104">
        <v>2562</v>
      </c>
      <c r="L94" s="105">
        <v>3517727</v>
      </c>
      <c r="M94" s="83"/>
      <c r="N94" s="83"/>
      <c r="O94" s="7"/>
      <c r="P94" s="7"/>
      <c r="Q94" s="7"/>
      <c r="R94" s="85"/>
      <c r="S94" s="96"/>
      <c r="T94" s="96"/>
      <c r="U94" s="96"/>
      <c r="V94" s="94"/>
      <c r="W94" s="46"/>
      <c r="X94" s="24"/>
      <c r="Y94" s="51"/>
      <c r="Z94" s="273"/>
      <c r="AA94" s="41"/>
      <c r="AB94" s="41"/>
    </row>
    <row r="95" spans="1:28" s="27" customFormat="1" ht="37.5">
      <c r="A95" s="282">
        <v>2</v>
      </c>
      <c r="B95" s="124">
        <v>4</v>
      </c>
      <c r="C95" s="98" t="s">
        <v>130</v>
      </c>
      <c r="D95" s="42">
        <f>K95+120</f>
        <v>5400</v>
      </c>
      <c r="E95" s="102">
        <v>6</v>
      </c>
      <c r="F95" s="103">
        <v>331573</v>
      </c>
      <c r="G95" s="267"/>
      <c r="H95" s="267"/>
      <c r="I95" s="267"/>
      <c r="J95" s="267"/>
      <c r="K95" s="104">
        <v>5280</v>
      </c>
      <c r="L95" s="105">
        <v>6785392</v>
      </c>
      <c r="M95" s="83"/>
      <c r="N95" s="83">
        <v>1300000</v>
      </c>
      <c r="O95" s="7"/>
      <c r="P95" s="7"/>
      <c r="Q95" s="7"/>
      <c r="R95" s="85"/>
      <c r="S95" s="96"/>
      <c r="T95" s="96"/>
      <c r="U95" s="96"/>
      <c r="V95" s="94"/>
      <c r="W95" s="46"/>
      <c r="X95" s="24"/>
      <c r="Y95" s="51"/>
      <c r="Z95" s="273"/>
      <c r="AA95" s="41"/>
      <c r="AB95" s="41"/>
    </row>
    <row r="96" spans="1:28" s="27" customFormat="1" ht="37.5">
      <c r="A96" s="282">
        <v>3</v>
      </c>
      <c r="B96" s="124">
        <v>2</v>
      </c>
      <c r="C96" s="98" t="s">
        <v>131</v>
      </c>
      <c r="D96" s="42">
        <f>K96+120+180</f>
        <v>4830</v>
      </c>
      <c r="E96" s="102">
        <v>5</v>
      </c>
      <c r="F96" s="103">
        <v>273407</v>
      </c>
      <c r="G96" s="267"/>
      <c r="H96" s="267"/>
      <c r="I96" s="267"/>
      <c r="J96" s="267"/>
      <c r="K96" s="104">
        <v>4530</v>
      </c>
      <c r="L96" s="105">
        <v>6086697</v>
      </c>
      <c r="M96" s="79">
        <v>1500000</v>
      </c>
      <c r="N96" s="83">
        <v>1300000</v>
      </c>
      <c r="O96" s="7"/>
      <c r="P96" s="7"/>
      <c r="Q96" s="7"/>
      <c r="R96" s="85"/>
      <c r="S96" s="96"/>
      <c r="T96" s="96"/>
      <c r="U96" s="96"/>
      <c r="V96" s="94"/>
      <c r="W96" s="46"/>
      <c r="X96" s="24"/>
      <c r="Y96" s="51"/>
      <c r="Z96" s="273"/>
      <c r="AA96" s="41"/>
      <c r="AB96" s="41"/>
    </row>
    <row r="97" spans="1:28" s="27" customFormat="1" ht="112.5">
      <c r="A97" s="282">
        <v>4</v>
      </c>
      <c r="B97" s="124">
        <v>4</v>
      </c>
      <c r="C97" s="98" t="s">
        <v>258</v>
      </c>
      <c r="D97" s="42">
        <f t="shared" ref="D97:D98" si="23">K97</f>
        <v>6053</v>
      </c>
      <c r="E97" s="102">
        <v>4</v>
      </c>
      <c r="F97" s="103">
        <v>298472</v>
      </c>
      <c r="G97" s="267"/>
      <c r="H97" s="267"/>
      <c r="I97" s="267"/>
      <c r="J97" s="267"/>
      <c r="K97" s="104">
        <v>6053</v>
      </c>
      <c r="L97" s="105">
        <v>8382560</v>
      </c>
      <c r="M97" s="83">
        <v>1500000</v>
      </c>
      <c r="N97" s="83"/>
      <c r="O97" s="7"/>
      <c r="P97" s="7"/>
      <c r="Q97" s="7"/>
      <c r="R97" s="281" t="s">
        <v>245</v>
      </c>
      <c r="S97" s="96"/>
      <c r="T97" s="96"/>
      <c r="U97" s="96"/>
      <c r="V97" s="94"/>
      <c r="W97" s="46"/>
      <c r="X97" s="24"/>
      <c r="Y97" s="51"/>
      <c r="Z97" s="273"/>
      <c r="AA97" s="41"/>
      <c r="AB97" s="41"/>
    </row>
    <row r="98" spans="1:28" s="27" customFormat="1">
      <c r="A98" s="282">
        <v>5</v>
      </c>
      <c r="B98" s="124">
        <v>1</v>
      </c>
      <c r="C98" s="98" t="s">
        <v>246</v>
      </c>
      <c r="D98" s="42">
        <f t="shared" si="23"/>
        <v>1469</v>
      </c>
      <c r="E98" s="102">
        <v>3</v>
      </c>
      <c r="F98" s="103">
        <v>137853</v>
      </c>
      <c r="G98" s="267"/>
      <c r="H98" s="267"/>
      <c r="I98" s="267"/>
      <c r="J98" s="267"/>
      <c r="K98" s="104">
        <v>1469</v>
      </c>
      <c r="L98" s="105">
        <v>2356565</v>
      </c>
      <c r="M98" s="83"/>
      <c r="N98" s="83"/>
      <c r="O98" s="7"/>
      <c r="P98" s="7"/>
      <c r="Q98" s="7"/>
      <c r="R98" s="281"/>
      <c r="S98" s="96"/>
      <c r="T98" s="96"/>
      <c r="U98" s="96"/>
      <c r="V98" s="94"/>
      <c r="W98" s="46"/>
      <c r="X98" s="24"/>
      <c r="Y98" s="51"/>
      <c r="Z98" s="273"/>
      <c r="AA98" s="41"/>
      <c r="AB98" s="41"/>
    </row>
    <row r="99" spans="1:28">
      <c r="A99" s="17">
        <v>5</v>
      </c>
      <c r="B99" s="19">
        <f>B94+B95+B96+B97+B98</f>
        <v>12</v>
      </c>
      <c r="C99" s="18" t="s">
        <v>4</v>
      </c>
      <c r="D99" s="20">
        <f>SUM(D94:D98)</f>
        <v>20314</v>
      </c>
      <c r="E99" s="20">
        <f t="shared" ref="E99:L99" si="24">E94+E95+E96+E97+E98</f>
        <v>22</v>
      </c>
      <c r="F99" s="20">
        <f t="shared" si="24"/>
        <v>1191478</v>
      </c>
      <c r="G99" s="20">
        <f t="shared" si="24"/>
        <v>0</v>
      </c>
      <c r="H99" s="20">
        <f t="shared" si="24"/>
        <v>0</v>
      </c>
      <c r="I99" s="20">
        <f t="shared" si="24"/>
        <v>0</v>
      </c>
      <c r="J99" s="20">
        <f t="shared" si="24"/>
        <v>0</v>
      </c>
      <c r="K99" s="20">
        <f t="shared" si="24"/>
        <v>19894</v>
      </c>
      <c r="L99" s="20">
        <f t="shared" si="24"/>
        <v>27128941</v>
      </c>
      <c r="M99" s="21">
        <f>SUM(M94:M97)</f>
        <v>3000000</v>
      </c>
      <c r="N99" s="21">
        <f>SUM(N94:N97)</f>
        <v>2600000</v>
      </c>
      <c r="O99" s="21">
        <f>SUM(O94:O97)</f>
        <v>0</v>
      </c>
      <c r="P99" s="21">
        <f>SUM(P94:P97)</f>
        <v>0</v>
      </c>
      <c r="Q99" s="21">
        <f>SUM(Q94:Q97)</f>
        <v>0</v>
      </c>
      <c r="R99" s="21">
        <f>N99+M99+L99+F99</f>
        <v>33920419</v>
      </c>
      <c r="S99" s="95"/>
      <c r="T99" s="95"/>
      <c r="U99" s="95"/>
      <c r="V99" s="21"/>
      <c r="W99" s="21"/>
      <c r="X99" s="21"/>
      <c r="Y99" s="21"/>
      <c r="Z99" s="284"/>
      <c r="AA99" s="39"/>
      <c r="AB99" s="39"/>
    </row>
    <row r="100" spans="1:28">
      <c r="A100" s="383" t="s">
        <v>15</v>
      </c>
      <c r="B100" s="384"/>
      <c r="C100" s="384"/>
      <c r="D100" s="384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41"/>
      <c r="X100" s="41"/>
      <c r="Y100" s="41"/>
      <c r="Z100" s="283"/>
      <c r="AA100" s="39"/>
      <c r="AB100" s="39"/>
    </row>
    <row r="101" spans="1:28" s="27" customFormat="1">
      <c r="A101" s="282">
        <v>1</v>
      </c>
      <c r="B101" s="124">
        <v>3</v>
      </c>
      <c r="C101" s="98" t="s">
        <v>144</v>
      </c>
      <c r="D101" s="42">
        <f>K101</f>
        <v>1978</v>
      </c>
      <c r="E101" s="102">
        <v>5</v>
      </c>
      <c r="F101" s="103">
        <v>126995</v>
      </c>
      <c r="G101" s="306">
        <v>2</v>
      </c>
      <c r="H101" s="15">
        <f t="shared" ref="H101:H102" si="25">52753*G101</f>
        <v>105506</v>
      </c>
      <c r="I101" s="307"/>
      <c r="J101" s="307"/>
      <c r="K101" s="125">
        <v>1978</v>
      </c>
      <c r="L101" s="105">
        <v>2550601</v>
      </c>
      <c r="M101" s="7"/>
      <c r="N101" s="7"/>
      <c r="O101" s="7"/>
      <c r="P101" s="7"/>
      <c r="Q101" s="7"/>
      <c r="R101" s="85"/>
      <c r="S101" s="96"/>
      <c r="T101" s="96"/>
      <c r="U101" s="96"/>
      <c r="V101" s="94"/>
      <c r="W101" s="47"/>
      <c r="X101" s="24"/>
      <c r="Y101" s="41"/>
      <c r="Z101" s="273"/>
      <c r="AA101" s="41"/>
      <c r="AB101" s="41"/>
    </row>
    <row r="102" spans="1:28" s="27" customFormat="1">
      <c r="A102" s="282">
        <v>2</v>
      </c>
      <c r="B102" s="124">
        <v>2</v>
      </c>
      <c r="C102" s="98" t="s">
        <v>145</v>
      </c>
      <c r="D102" s="42">
        <f t="shared" ref="D102:D103" si="26">K102</f>
        <v>1351</v>
      </c>
      <c r="E102" s="102">
        <v>2</v>
      </c>
      <c r="F102" s="103">
        <v>113384.62</v>
      </c>
      <c r="G102" s="306">
        <v>1</v>
      </c>
      <c r="H102" s="15">
        <f t="shared" si="25"/>
        <v>52753</v>
      </c>
      <c r="I102" s="307"/>
      <c r="J102" s="307"/>
      <c r="K102" s="125">
        <v>1351</v>
      </c>
      <c r="L102" s="105">
        <v>1756718</v>
      </c>
      <c r="M102" s="7"/>
      <c r="N102" s="7"/>
      <c r="O102" s="7"/>
      <c r="P102" s="7"/>
      <c r="Q102" s="7"/>
      <c r="R102" s="85"/>
      <c r="S102" s="96"/>
      <c r="T102" s="96"/>
      <c r="U102" s="96"/>
      <c r="V102" s="94"/>
      <c r="W102" s="47"/>
      <c r="X102" s="22"/>
      <c r="Y102" s="242"/>
      <c r="Z102" s="288"/>
      <c r="AA102" s="41"/>
      <c r="AB102" s="41"/>
    </row>
    <row r="103" spans="1:28" s="27" customFormat="1" ht="37.5">
      <c r="A103" s="282">
        <v>3</v>
      </c>
      <c r="B103" s="124">
        <v>1</v>
      </c>
      <c r="C103" s="98" t="s">
        <v>146</v>
      </c>
      <c r="D103" s="42">
        <f t="shared" si="26"/>
        <v>3404</v>
      </c>
      <c r="E103" s="102">
        <v>1</v>
      </c>
      <c r="F103" s="103">
        <v>58109</v>
      </c>
      <c r="G103" s="306"/>
      <c r="H103" s="307"/>
      <c r="I103" s="308">
        <v>1</v>
      </c>
      <c r="J103" s="15">
        <f>46923*I103</f>
        <v>46923</v>
      </c>
      <c r="K103" s="104">
        <v>3404</v>
      </c>
      <c r="L103" s="105">
        <v>4197397</v>
      </c>
      <c r="M103" s="7"/>
      <c r="N103" s="7"/>
      <c r="O103" s="7"/>
      <c r="P103" s="7"/>
      <c r="Q103" s="7"/>
      <c r="R103" s="85"/>
      <c r="S103" s="96"/>
      <c r="T103" s="96"/>
      <c r="U103" s="96"/>
      <c r="V103" s="94"/>
      <c r="W103" s="47"/>
      <c r="X103" s="22"/>
      <c r="Y103" s="242"/>
      <c r="Z103" s="288"/>
      <c r="AA103" s="290" t="s">
        <v>253</v>
      </c>
      <c r="AB103" s="41"/>
    </row>
    <row r="104" spans="1:28">
      <c r="A104" s="17">
        <v>3</v>
      </c>
      <c r="B104" s="19">
        <f>SUM(B101:B103)</f>
        <v>6</v>
      </c>
      <c r="C104" s="18" t="s">
        <v>4</v>
      </c>
      <c r="D104" s="20">
        <f t="shared" ref="D104:L104" si="27">SUM(D101:D103)</f>
        <v>6733</v>
      </c>
      <c r="E104" s="20">
        <f t="shared" si="27"/>
        <v>8</v>
      </c>
      <c r="F104" s="21">
        <f t="shared" si="27"/>
        <v>298488.62</v>
      </c>
      <c r="G104" s="20">
        <f t="shared" si="27"/>
        <v>3</v>
      </c>
      <c r="H104" s="20">
        <f t="shared" si="27"/>
        <v>158259</v>
      </c>
      <c r="I104" s="20">
        <f t="shared" si="27"/>
        <v>1</v>
      </c>
      <c r="J104" s="20">
        <f t="shared" si="27"/>
        <v>46923</v>
      </c>
      <c r="K104" s="20">
        <f t="shared" si="27"/>
        <v>6733</v>
      </c>
      <c r="L104" s="21">
        <f t="shared" si="27"/>
        <v>8504716</v>
      </c>
      <c r="M104" s="20"/>
      <c r="N104" s="20"/>
      <c r="O104" s="20"/>
      <c r="P104" s="20"/>
      <c r="Q104" s="20"/>
      <c r="R104" s="230">
        <f>L104+F104</f>
        <v>8803204.6199999992</v>
      </c>
      <c r="S104" s="248"/>
      <c r="T104" s="248"/>
      <c r="U104" s="248"/>
      <c r="V104" s="94"/>
      <c r="W104" s="21"/>
      <c r="X104" s="21"/>
      <c r="Y104" s="21"/>
      <c r="Z104" s="284"/>
      <c r="AA104" s="39"/>
      <c r="AB104" s="39"/>
    </row>
    <row r="105" spans="1:28">
      <c r="A105" s="20">
        <f>A104+A99+A92+A72+A67+A33+A17+A11</f>
        <v>80</v>
      </c>
      <c r="B105" s="20">
        <f>B11+B33+B67+B72+B92+B99+B104+B17</f>
        <v>132</v>
      </c>
      <c r="C105" s="18" t="s">
        <v>16</v>
      </c>
      <c r="D105" s="20">
        <f>D104+D99+D92+D72+D67+D33+D17+D11</f>
        <v>235778.2</v>
      </c>
      <c r="E105" s="20">
        <f>E11+E17+E33+E67+E72+E92+E99+E104</f>
        <v>226</v>
      </c>
      <c r="F105" s="20">
        <f>F11+F17+F33+F67+F72+F92+F99+F104</f>
        <v>12171082.219999999</v>
      </c>
      <c r="G105" s="20">
        <f>G104+G99+G92+G72+G67+G33+G17+G11</f>
        <v>178876.875</v>
      </c>
      <c r="H105" s="20">
        <f>H104+H99+H92+H72+H67+H33+H17+H11</f>
        <v>1584527</v>
      </c>
      <c r="I105" s="20">
        <f>I104+I99+I92+I72+I67+I33+I17+I11</f>
        <v>2182.125</v>
      </c>
      <c r="J105" s="20">
        <f>J104+J99+J92+J72+J67+J33+J17+J11</f>
        <v>142706</v>
      </c>
      <c r="K105" s="20">
        <f>K11+K17+K33+K67+K72+K92+K99+K104</f>
        <v>231844</v>
      </c>
      <c r="L105" s="20">
        <f>L11+L17+L33+L67+L72+L92+L99+L104</f>
        <v>298651706.60000002</v>
      </c>
      <c r="M105" s="20">
        <f>M33+M67+M72+M92+M99</f>
        <v>21000000</v>
      </c>
      <c r="N105" s="20">
        <f>N11+N67+N72+N92+N99</f>
        <v>23400000</v>
      </c>
      <c r="O105" s="20">
        <f>O104+O99+O92+O72+O67+O33+O17+O11</f>
        <v>0</v>
      </c>
      <c r="P105" s="20">
        <f>P104+P99+P92+P72+P67+P33+P17+P11</f>
        <v>0</v>
      </c>
      <c r="Q105" s="20">
        <f>Q104+Q99+Q92+Q72+Q67+Q33+Q17+Q11</f>
        <v>3000000</v>
      </c>
      <c r="R105" s="20">
        <f>Q105+N105+M105+L105+F105</f>
        <v>358222788.82000005</v>
      </c>
      <c r="S105" s="21"/>
      <c r="T105" s="21"/>
      <c r="U105" s="21"/>
      <c r="V105" s="20"/>
      <c r="W105" s="23"/>
      <c r="X105" s="23"/>
      <c r="Y105" s="23"/>
      <c r="Z105" s="289"/>
      <c r="AA105" s="39"/>
      <c r="AB105" s="39"/>
    </row>
    <row r="106" spans="1:28">
      <c r="A106" s="253"/>
      <c r="B106" s="280"/>
      <c r="C106" s="254"/>
      <c r="D106" s="253"/>
      <c r="E106" s="253"/>
      <c r="F106" s="255"/>
      <c r="G106" s="253"/>
      <c r="H106" s="253"/>
      <c r="I106" s="253"/>
      <c r="J106" s="253"/>
      <c r="K106" s="253"/>
      <c r="L106" s="255"/>
      <c r="M106" s="255"/>
      <c r="N106" s="256"/>
      <c r="O106" s="256"/>
      <c r="P106" s="256"/>
      <c r="Q106" s="256"/>
      <c r="R106" s="257">
        <f>R105-Q105-N105-M105</f>
        <v>310822788.82000005</v>
      </c>
      <c r="S106" s="255"/>
      <c r="T106" s="255"/>
      <c r="U106" s="255"/>
      <c r="V106" s="253"/>
      <c r="W106" s="252"/>
      <c r="X106" s="252"/>
      <c r="Y106" s="252"/>
      <c r="Z106" s="252"/>
      <c r="AA106" s="295">
        <f>R104+R99+R92+R72+R67+R33+R17+R11</f>
        <v>358222788.81999999</v>
      </c>
      <c r="AB106" s="39"/>
    </row>
    <row r="107" spans="1:28">
      <c r="A107" s="20"/>
      <c r="B107" s="19"/>
      <c r="C107" s="18" t="s">
        <v>228</v>
      </c>
      <c r="D107" s="20"/>
      <c r="E107" s="20"/>
      <c r="F107" s="21"/>
      <c r="G107" s="20"/>
      <c r="H107" s="20"/>
      <c r="I107" s="20"/>
      <c r="J107" s="20"/>
      <c r="K107" s="20"/>
      <c r="L107" s="21"/>
      <c r="M107" s="21"/>
      <c r="N107" s="258"/>
      <c r="O107" s="258"/>
      <c r="P107" s="258"/>
      <c r="Q107" s="258"/>
      <c r="R107" s="230"/>
      <c r="S107" s="255"/>
      <c r="T107" s="255"/>
      <c r="U107" s="255"/>
      <c r="V107" s="253"/>
      <c r="W107" s="252"/>
      <c r="X107" s="252"/>
      <c r="Y107" s="252"/>
      <c r="Z107" s="252"/>
      <c r="AA107" s="295">
        <f>R105-AA106</f>
        <v>0</v>
      </c>
      <c r="AB107" s="39"/>
    </row>
    <row r="108" spans="1:28">
      <c r="A108" s="383" t="s">
        <v>11</v>
      </c>
      <c r="B108" s="384"/>
      <c r="C108" s="384"/>
      <c r="D108" s="384"/>
      <c r="E108" s="384"/>
      <c r="F108" s="384"/>
      <c r="G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252"/>
      <c r="X108" s="252"/>
      <c r="Y108" s="252"/>
      <c r="Z108" s="252"/>
      <c r="AA108" s="39"/>
      <c r="AB108" s="39"/>
    </row>
    <row r="109" spans="1:28">
      <c r="A109" s="316">
        <v>1</v>
      </c>
      <c r="B109" s="262">
        <v>1</v>
      </c>
      <c r="C109" s="263" t="s">
        <v>123</v>
      </c>
      <c r="D109" s="293">
        <f>K109</f>
        <v>2356</v>
      </c>
      <c r="E109" s="309">
        <v>0</v>
      </c>
      <c r="F109" s="310">
        <v>0</v>
      </c>
      <c r="G109" s="311"/>
      <c r="H109" s="311"/>
      <c r="I109" s="311"/>
      <c r="J109" s="311"/>
      <c r="K109" s="268">
        <v>2356</v>
      </c>
      <c r="L109" s="269">
        <f>K109*1125</f>
        <v>2650500</v>
      </c>
      <c r="M109" s="264"/>
      <c r="N109" s="265"/>
      <c r="O109" s="265"/>
      <c r="P109" s="265"/>
      <c r="Q109" s="265"/>
      <c r="R109" s="266"/>
      <c r="S109" s="255"/>
      <c r="T109" s="255"/>
      <c r="U109" s="255"/>
      <c r="V109" s="253"/>
      <c r="W109" s="252"/>
      <c r="X109" s="252"/>
      <c r="Y109" s="252"/>
      <c r="Z109" s="252"/>
      <c r="AA109" s="39"/>
      <c r="AB109" s="39"/>
    </row>
    <row r="110" spans="1:28">
      <c r="A110" s="20">
        <v>1</v>
      </c>
      <c r="B110" s="315">
        <v>1</v>
      </c>
      <c r="C110" s="18" t="s">
        <v>4</v>
      </c>
      <c r="D110" s="312">
        <f>SUM(D109)</f>
        <v>2356</v>
      </c>
      <c r="E110" s="312">
        <f t="shared" ref="E110:L110" si="28">SUM(E109)</f>
        <v>0</v>
      </c>
      <c r="F110" s="312">
        <f t="shared" si="28"/>
        <v>0</v>
      </c>
      <c r="G110" s="312">
        <f t="shared" si="28"/>
        <v>0</v>
      </c>
      <c r="H110" s="312">
        <f t="shared" si="28"/>
        <v>0</v>
      </c>
      <c r="I110" s="312">
        <f t="shared" si="28"/>
        <v>0</v>
      </c>
      <c r="J110" s="312">
        <f t="shared" si="28"/>
        <v>0</v>
      </c>
      <c r="K110" s="312">
        <f t="shared" si="28"/>
        <v>2356</v>
      </c>
      <c r="L110" s="312">
        <f t="shared" si="28"/>
        <v>2650500</v>
      </c>
      <c r="M110" s="21"/>
      <c r="N110" s="258"/>
      <c r="O110" s="258"/>
      <c r="P110" s="258"/>
      <c r="Q110" s="258"/>
      <c r="R110" s="230">
        <f>L110</f>
        <v>2650500</v>
      </c>
      <c r="S110" s="21"/>
      <c r="T110" s="21"/>
      <c r="U110" s="21"/>
      <c r="V110" s="20"/>
      <c r="W110" s="252"/>
      <c r="X110" s="252"/>
      <c r="Y110" s="252"/>
      <c r="Z110" s="252"/>
      <c r="AA110" s="39"/>
      <c r="AB110" s="39"/>
    </row>
    <row r="111" spans="1:28">
      <c r="A111" s="383" t="s">
        <v>7</v>
      </c>
      <c r="B111" s="384"/>
      <c r="C111" s="384"/>
      <c r="D111" s="384"/>
      <c r="E111" s="384"/>
      <c r="F111" s="384"/>
      <c r="G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252"/>
      <c r="X111" s="252"/>
      <c r="Y111" s="252"/>
      <c r="Z111" s="252"/>
      <c r="AA111" s="39"/>
      <c r="AB111" s="39"/>
    </row>
    <row r="112" spans="1:28">
      <c r="A112" s="15">
        <v>1</v>
      </c>
      <c r="B112" s="260">
        <v>2</v>
      </c>
      <c r="C112" s="98" t="s">
        <v>259</v>
      </c>
      <c r="D112" s="293">
        <f>K112</f>
        <v>3105</v>
      </c>
      <c r="E112" s="20">
        <v>0</v>
      </c>
      <c r="F112" s="21">
        <v>0</v>
      </c>
      <c r="G112" s="20"/>
      <c r="H112" s="20"/>
      <c r="I112" s="20"/>
      <c r="J112" s="20"/>
      <c r="K112" s="298">
        <v>3105</v>
      </c>
      <c r="L112" s="105">
        <v>4153890</v>
      </c>
      <c r="M112" s="21"/>
      <c r="N112" s="258"/>
      <c r="O112" s="258"/>
      <c r="P112" s="258"/>
      <c r="Q112" s="258"/>
      <c r="R112" s="230"/>
      <c r="S112" s="255"/>
      <c r="T112" s="255"/>
      <c r="U112" s="255"/>
      <c r="V112" s="253"/>
      <c r="W112" s="252"/>
      <c r="X112" s="252"/>
      <c r="Y112" s="252"/>
      <c r="Z112" s="252"/>
      <c r="AA112" s="39"/>
      <c r="AB112" s="39"/>
    </row>
    <row r="113" spans="1:28">
      <c r="A113" s="20">
        <v>1</v>
      </c>
      <c r="B113" s="19">
        <f>SUM(B112)</f>
        <v>2</v>
      </c>
      <c r="C113" s="18" t="s">
        <v>4</v>
      </c>
      <c r="D113" s="20">
        <f>SUM(D112)</f>
        <v>3105</v>
      </c>
      <c r="E113" s="20">
        <f t="shared" ref="E113:L113" si="29">SUM(E112)</f>
        <v>0</v>
      </c>
      <c r="F113" s="20">
        <f t="shared" si="29"/>
        <v>0</v>
      </c>
      <c r="G113" s="20">
        <f t="shared" si="29"/>
        <v>0</v>
      </c>
      <c r="H113" s="20">
        <f t="shared" si="29"/>
        <v>0</v>
      </c>
      <c r="I113" s="20">
        <f t="shared" si="29"/>
        <v>0</v>
      </c>
      <c r="J113" s="20">
        <f t="shared" si="29"/>
        <v>0</v>
      </c>
      <c r="K113" s="20">
        <f t="shared" si="29"/>
        <v>3105</v>
      </c>
      <c r="L113" s="20">
        <f t="shared" si="29"/>
        <v>4153890</v>
      </c>
      <c r="M113" s="21"/>
      <c r="N113" s="258"/>
      <c r="O113" s="258"/>
      <c r="P113" s="258"/>
      <c r="Q113" s="258"/>
      <c r="R113" s="230">
        <f>L113</f>
        <v>4153890</v>
      </c>
      <c r="S113" s="255"/>
      <c r="T113" s="255"/>
      <c r="U113" s="255"/>
      <c r="V113" s="253"/>
      <c r="W113" s="252"/>
      <c r="X113" s="252"/>
      <c r="Y113" s="252"/>
      <c r="Z113" s="252"/>
      <c r="AA113" s="39"/>
      <c r="AB113" s="39"/>
    </row>
    <row r="114" spans="1:28">
      <c r="A114" s="15">
        <v>1</v>
      </c>
      <c r="B114" s="260">
        <v>1</v>
      </c>
      <c r="C114" s="98" t="s">
        <v>135</v>
      </c>
      <c r="D114" s="42">
        <f t="shared" ref="D114:D117" si="30">K114</f>
        <v>1564</v>
      </c>
      <c r="E114" s="109">
        <v>1</v>
      </c>
      <c r="F114" s="270">
        <v>67620</v>
      </c>
      <c r="G114" s="15"/>
      <c r="H114" s="15"/>
      <c r="I114" s="15"/>
      <c r="J114" s="15"/>
      <c r="K114" s="313">
        <v>1564</v>
      </c>
      <c r="L114" s="314">
        <v>2084699</v>
      </c>
      <c r="M114" s="77"/>
      <c r="N114" s="258"/>
      <c r="O114" s="258"/>
      <c r="P114" s="258"/>
      <c r="Q114" s="258"/>
      <c r="R114" s="230"/>
      <c r="S114" s="255"/>
      <c r="T114" s="255"/>
      <c r="U114" s="255"/>
      <c r="V114" s="253"/>
      <c r="W114" s="252"/>
      <c r="X114" s="252"/>
      <c r="Y114" s="252"/>
      <c r="Z114" s="252"/>
      <c r="AA114" s="39"/>
      <c r="AB114" s="39"/>
    </row>
    <row r="115" spans="1:28">
      <c r="A115" s="15">
        <v>2</v>
      </c>
      <c r="B115" s="260">
        <v>2</v>
      </c>
      <c r="C115" s="98" t="s">
        <v>137</v>
      </c>
      <c r="D115" s="42">
        <f t="shared" si="30"/>
        <v>1100</v>
      </c>
      <c r="E115" s="15">
        <v>2</v>
      </c>
      <c r="F115" s="270">
        <v>100000</v>
      </c>
      <c r="G115" s="15"/>
      <c r="H115" s="15"/>
      <c r="I115" s="15"/>
      <c r="J115" s="15"/>
      <c r="K115" s="15">
        <v>1100</v>
      </c>
      <c r="L115" s="77">
        <v>1430000</v>
      </c>
      <c r="M115" s="77"/>
      <c r="N115" s="258"/>
      <c r="O115" s="258"/>
      <c r="P115" s="258"/>
      <c r="Q115" s="258"/>
      <c r="R115" s="230"/>
      <c r="S115" s="255"/>
      <c r="T115" s="255"/>
      <c r="U115" s="255"/>
      <c r="V115" s="253"/>
      <c r="W115" s="252"/>
      <c r="X115" s="252"/>
      <c r="Y115" s="252"/>
      <c r="Z115" s="252"/>
      <c r="AA115" s="39"/>
      <c r="AB115" s="39"/>
    </row>
    <row r="116" spans="1:28">
      <c r="A116" s="15">
        <v>3</v>
      </c>
      <c r="B116" s="260">
        <v>2</v>
      </c>
      <c r="C116" s="98" t="s">
        <v>138</v>
      </c>
      <c r="D116" s="42">
        <f t="shared" si="30"/>
        <v>2119</v>
      </c>
      <c r="E116" s="15">
        <v>2</v>
      </c>
      <c r="F116" s="270">
        <v>100000</v>
      </c>
      <c r="G116" s="15"/>
      <c r="H116" s="15"/>
      <c r="I116" s="15"/>
      <c r="J116" s="15"/>
      <c r="K116" s="15">
        <v>2119</v>
      </c>
      <c r="L116" s="77">
        <v>2754700</v>
      </c>
      <c r="M116" s="77">
        <v>1500000</v>
      </c>
      <c r="N116" s="258"/>
      <c r="O116" s="258"/>
      <c r="P116" s="258"/>
      <c r="Q116" s="258"/>
      <c r="R116" s="230"/>
      <c r="S116" s="255"/>
      <c r="T116" s="255"/>
      <c r="U116" s="255"/>
      <c r="V116" s="253"/>
      <c r="W116" s="252"/>
      <c r="X116" s="252"/>
      <c r="Y116" s="252"/>
      <c r="Z116" s="252"/>
      <c r="AA116" s="39"/>
      <c r="AB116" s="39"/>
    </row>
    <row r="117" spans="1:28" ht="37.5">
      <c r="A117" s="15">
        <v>4</v>
      </c>
      <c r="B117" s="260">
        <v>3</v>
      </c>
      <c r="C117" s="98" t="s">
        <v>141</v>
      </c>
      <c r="D117" s="42">
        <f t="shared" si="30"/>
        <v>2772</v>
      </c>
      <c r="E117" s="15">
        <v>3</v>
      </c>
      <c r="F117" s="77">
        <v>150000</v>
      </c>
      <c r="G117" s="15"/>
      <c r="H117" s="15"/>
      <c r="I117" s="15"/>
      <c r="J117" s="15"/>
      <c r="K117" s="15">
        <v>2772</v>
      </c>
      <c r="L117" s="77">
        <v>3603600</v>
      </c>
      <c r="M117" s="77"/>
      <c r="N117" s="258"/>
      <c r="O117" s="258"/>
      <c r="P117" s="258"/>
      <c r="Q117" s="258"/>
      <c r="R117" s="230"/>
      <c r="S117" s="255"/>
      <c r="T117" s="255"/>
      <c r="U117" s="255"/>
      <c r="V117" s="253"/>
      <c r="W117" s="252"/>
      <c r="X117" s="252"/>
      <c r="Y117" s="252"/>
      <c r="Z117" s="252"/>
      <c r="AA117" s="39"/>
      <c r="AB117" s="39"/>
    </row>
    <row r="118" spans="1:28">
      <c r="A118" s="20">
        <v>4</v>
      </c>
      <c r="B118" s="19">
        <v>8</v>
      </c>
      <c r="C118" s="18" t="s">
        <v>4</v>
      </c>
      <c r="D118" s="20">
        <f>SUM(D114:D117)</f>
        <v>7555</v>
      </c>
      <c r="E118" s="20">
        <v>8</v>
      </c>
      <c r="F118" s="20">
        <f>F114+F115+F116+F117</f>
        <v>417620</v>
      </c>
      <c r="G118" s="20">
        <f>SUM(G114:G117)</f>
        <v>0</v>
      </c>
      <c r="H118" s="20">
        <f>SUM(H114:H117)</f>
        <v>0</v>
      </c>
      <c r="I118" s="20">
        <f>SUM(I114:I117)</f>
        <v>0</v>
      </c>
      <c r="J118" s="20">
        <f>SUM(J114:J117)</f>
        <v>0</v>
      </c>
      <c r="K118" s="20">
        <f>SUM(K114:K117)</f>
        <v>7555</v>
      </c>
      <c r="L118" s="20">
        <f>L114+L115+L116+L117</f>
        <v>9872999</v>
      </c>
      <c r="M118" s="20">
        <f>SUM(M114:M117)</f>
        <v>1500000</v>
      </c>
      <c r="N118" s="258"/>
      <c r="O118" s="258"/>
      <c r="P118" s="258"/>
      <c r="Q118" s="258"/>
      <c r="R118" s="230">
        <f>M118+L118+F118</f>
        <v>11790619</v>
      </c>
      <c r="S118" s="255"/>
      <c r="T118" s="255"/>
      <c r="U118" s="255"/>
      <c r="V118" s="253"/>
      <c r="W118" s="252"/>
      <c r="X118" s="252"/>
      <c r="Y118" s="252"/>
      <c r="Z118" s="252"/>
      <c r="AA118" s="39"/>
      <c r="AB118" s="39"/>
    </row>
    <row r="119" spans="1:28">
      <c r="A119" s="20">
        <f>A118+A113+A110</f>
        <v>6</v>
      </c>
      <c r="B119" s="19">
        <f>B118+B113+B109</f>
        <v>11</v>
      </c>
      <c r="C119" s="271" t="s">
        <v>233</v>
      </c>
      <c r="D119" s="20">
        <f t="shared" ref="D119:M119" si="31">D118+D113+D110</f>
        <v>13016</v>
      </c>
      <c r="E119" s="20">
        <f t="shared" si="31"/>
        <v>8</v>
      </c>
      <c r="F119" s="20">
        <f t="shared" si="31"/>
        <v>417620</v>
      </c>
      <c r="G119" s="20">
        <f t="shared" si="31"/>
        <v>0</v>
      </c>
      <c r="H119" s="20">
        <f t="shared" si="31"/>
        <v>0</v>
      </c>
      <c r="I119" s="20">
        <f t="shared" si="31"/>
        <v>0</v>
      </c>
      <c r="J119" s="20">
        <f t="shared" si="31"/>
        <v>0</v>
      </c>
      <c r="K119" s="20">
        <f t="shared" si="31"/>
        <v>13016</v>
      </c>
      <c r="L119" s="20">
        <f t="shared" si="31"/>
        <v>16677389</v>
      </c>
      <c r="M119" s="20">
        <f t="shared" si="31"/>
        <v>1500000</v>
      </c>
      <c r="N119" s="20">
        <f t="shared" ref="N119:Q119" si="32">N118+N113+N110</f>
        <v>0</v>
      </c>
      <c r="O119" s="20">
        <f t="shared" si="32"/>
        <v>0</v>
      </c>
      <c r="P119" s="20">
        <f t="shared" si="32"/>
        <v>0</v>
      </c>
      <c r="Q119" s="20">
        <f t="shared" si="32"/>
        <v>0</v>
      </c>
      <c r="R119" s="230">
        <f>R118+R113+R110</f>
        <v>18595009</v>
      </c>
      <c r="S119" s="255"/>
      <c r="T119" s="255"/>
      <c r="U119" s="255"/>
      <c r="V119" s="253"/>
      <c r="W119" s="252"/>
      <c r="X119" s="252"/>
      <c r="Y119" s="252"/>
      <c r="Z119" s="252"/>
      <c r="AA119" s="39"/>
      <c r="AB119" s="39"/>
    </row>
    <row r="120" spans="1:28">
      <c r="A120" s="20">
        <f>A119+A105</f>
        <v>86</v>
      </c>
      <c r="B120" s="20">
        <f>B119+B105</f>
        <v>143</v>
      </c>
      <c r="C120" s="18" t="s">
        <v>229</v>
      </c>
      <c r="D120" s="20">
        <f t="shared" ref="D120:M120" si="33">D119+D105</f>
        <v>248794.2</v>
      </c>
      <c r="E120" s="20">
        <f t="shared" si="33"/>
        <v>234</v>
      </c>
      <c r="F120" s="20">
        <f t="shared" si="33"/>
        <v>12588702.219999999</v>
      </c>
      <c r="G120" s="20">
        <f t="shared" si="33"/>
        <v>178876.875</v>
      </c>
      <c r="H120" s="20">
        <f t="shared" si="33"/>
        <v>1584527</v>
      </c>
      <c r="I120" s="20">
        <f t="shared" si="33"/>
        <v>2182.125</v>
      </c>
      <c r="J120" s="20">
        <f t="shared" si="33"/>
        <v>142706</v>
      </c>
      <c r="K120" s="20">
        <f t="shared" si="33"/>
        <v>244860</v>
      </c>
      <c r="L120" s="20">
        <f t="shared" si="33"/>
        <v>315329095.60000002</v>
      </c>
      <c r="M120" s="20">
        <f t="shared" si="33"/>
        <v>22500000</v>
      </c>
      <c r="N120" s="317">
        <f>N105</f>
        <v>23400000</v>
      </c>
      <c r="O120" s="258"/>
      <c r="P120" s="258"/>
      <c r="Q120" s="317">
        <f>Q105</f>
        <v>3000000</v>
      </c>
      <c r="R120" s="230">
        <f>L120+F120+M120+N120+Q120</f>
        <v>376817797.82000005</v>
      </c>
      <c r="S120" s="255"/>
      <c r="T120" s="255"/>
      <c r="U120" s="255"/>
      <c r="V120" s="253"/>
      <c r="W120" s="252"/>
      <c r="X120" s="252"/>
      <c r="Y120" s="252"/>
      <c r="Z120" s="252"/>
      <c r="AA120" s="39"/>
      <c r="AB120" s="39"/>
    </row>
    <row r="121" spans="1:28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292"/>
      <c r="O121" s="12"/>
      <c r="P121" s="12"/>
      <c r="Q121" s="385"/>
      <c r="R121" s="385"/>
      <c r="S121" s="385"/>
      <c r="T121" s="385"/>
      <c r="U121" s="385"/>
      <c r="V121" s="385"/>
      <c r="W121" s="48"/>
      <c r="X121" s="48"/>
    </row>
    <row r="122" spans="1:28" ht="20.25">
      <c r="C122" s="25" t="s">
        <v>230</v>
      </c>
      <c r="L122" s="84"/>
      <c r="M122" s="84"/>
      <c r="R122" s="60"/>
      <c r="W122" s="49"/>
      <c r="X122" s="52"/>
    </row>
    <row r="123" spans="1:28">
      <c r="A123" s="39"/>
      <c r="B123" s="321">
        <v>1</v>
      </c>
      <c r="C123" s="98" t="s">
        <v>142</v>
      </c>
      <c r="D123" s="42">
        <f t="shared" ref="D123:D135" si="34">K123</f>
        <v>1249</v>
      </c>
      <c r="E123" s="102">
        <v>2</v>
      </c>
      <c r="F123" s="103">
        <f t="shared" ref="F123:F135" si="35">E123*51.324</f>
        <v>102.648</v>
      </c>
      <c r="G123" s="319"/>
      <c r="H123" s="319"/>
      <c r="I123" s="319"/>
      <c r="J123" s="319"/>
      <c r="K123" s="104">
        <v>1249</v>
      </c>
      <c r="L123" s="105">
        <f t="shared" ref="L123:L135" si="36">K123*1.13</f>
        <v>1411.37</v>
      </c>
      <c r="M123" s="39"/>
      <c r="N123" s="39"/>
      <c r="O123" s="320"/>
      <c r="P123" s="320"/>
      <c r="Q123" s="39"/>
      <c r="R123" s="24"/>
      <c r="W123" s="49"/>
      <c r="X123" s="49"/>
    </row>
    <row r="124" spans="1:28" ht="37.5">
      <c r="A124" s="39"/>
      <c r="B124" s="321">
        <v>1</v>
      </c>
      <c r="C124" s="98" t="s">
        <v>143</v>
      </c>
      <c r="D124" s="42">
        <f t="shared" si="34"/>
        <v>1433</v>
      </c>
      <c r="E124" s="102">
        <v>3</v>
      </c>
      <c r="F124" s="103">
        <f t="shared" si="35"/>
        <v>153.97199999999998</v>
      </c>
      <c r="G124" s="319"/>
      <c r="H124" s="319"/>
      <c r="I124" s="319"/>
      <c r="J124" s="319"/>
      <c r="K124" s="104">
        <v>1433</v>
      </c>
      <c r="L124" s="105">
        <f t="shared" si="36"/>
        <v>1619.2899999999997</v>
      </c>
      <c r="M124" s="39"/>
      <c r="N124" s="39"/>
      <c r="O124" s="320"/>
      <c r="P124" s="320"/>
      <c r="Q124" s="39"/>
      <c r="R124" s="24"/>
      <c r="W124" s="48"/>
      <c r="X124" s="48"/>
    </row>
    <row r="125" spans="1:28" s="27" customFormat="1">
      <c r="A125" s="39"/>
      <c r="B125" s="322">
        <v>4</v>
      </c>
      <c r="C125" s="232" t="s">
        <v>260</v>
      </c>
      <c r="D125" s="42">
        <f t="shared" si="34"/>
        <v>6054</v>
      </c>
      <c r="E125" s="220">
        <v>6</v>
      </c>
      <c r="F125" s="221">
        <f t="shared" si="35"/>
        <v>307.94399999999996</v>
      </c>
      <c r="G125" s="319"/>
      <c r="H125" s="319"/>
      <c r="I125" s="319"/>
      <c r="J125" s="319"/>
      <c r="K125" s="223">
        <v>6054</v>
      </c>
      <c r="L125" s="224">
        <f t="shared" si="36"/>
        <v>6841.0199999999995</v>
      </c>
      <c r="M125" s="39"/>
      <c r="N125" s="39"/>
      <c r="O125" s="320"/>
      <c r="P125" s="320"/>
      <c r="Q125" s="39"/>
      <c r="R125" s="24"/>
      <c r="S125" s="71"/>
      <c r="T125" s="71"/>
      <c r="U125" s="71"/>
      <c r="V125" s="25"/>
      <c r="W125" s="26"/>
      <c r="X125" s="26"/>
      <c r="AA125" s="25"/>
    </row>
    <row r="126" spans="1:28" s="27" customFormat="1">
      <c r="A126" s="39"/>
      <c r="B126" s="322">
        <v>3</v>
      </c>
      <c r="C126" s="232" t="s">
        <v>261</v>
      </c>
      <c r="D126" s="42">
        <f t="shared" si="34"/>
        <v>5143</v>
      </c>
      <c r="E126" s="220">
        <v>4</v>
      </c>
      <c r="F126" s="221">
        <f t="shared" si="35"/>
        <v>205.29599999999999</v>
      </c>
      <c r="G126" s="319"/>
      <c r="H126" s="319"/>
      <c r="I126" s="319"/>
      <c r="J126" s="319"/>
      <c r="K126" s="223">
        <v>5143</v>
      </c>
      <c r="L126" s="224">
        <f t="shared" si="36"/>
        <v>5811.5899999999992</v>
      </c>
      <c r="M126" s="39"/>
      <c r="N126" s="39"/>
      <c r="O126" s="320"/>
      <c r="P126" s="320"/>
      <c r="Q126" s="39"/>
      <c r="R126" s="24"/>
      <c r="S126" s="71"/>
      <c r="T126" s="71"/>
      <c r="U126" s="71"/>
      <c r="V126" s="25"/>
      <c r="W126" s="48"/>
      <c r="X126" s="48"/>
      <c r="AA126" s="25"/>
    </row>
    <row r="127" spans="1:28" s="27" customFormat="1" ht="37.5">
      <c r="A127" s="39"/>
      <c r="B127" s="321">
        <v>2</v>
      </c>
      <c r="C127" s="98" t="s">
        <v>207</v>
      </c>
      <c r="D127" s="42">
        <f t="shared" si="34"/>
        <v>2498</v>
      </c>
      <c r="E127" s="102">
        <v>4</v>
      </c>
      <c r="F127" s="103">
        <f t="shared" si="35"/>
        <v>205.29599999999999</v>
      </c>
      <c r="G127" s="319"/>
      <c r="H127" s="319"/>
      <c r="I127" s="319"/>
      <c r="J127" s="319"/>
      <c r="K127" s="104">
        <v>2498</v>
      </c>
      <c r="L127" s="105">
        <f t="shared" si="36"/>
        <v>2822.74</v>
      </c>
      <c r="M127" s="39"/>
      <c r="N127" s="39"/>
      <c r="O127" s="320"/>
      <c r="P127" s="320"/>
      <c r="Q127" s="39"/>
      <c r="R127" s="24"/>
      <c r="S127" s="71"/>
      <c r="T127" s="71"/>
      <c r="U127" s="71"/>
      <c r="V127" s="25"/>
      <c r="W127" s="50"/>
      <c r="X127" s="50"/>
      <c r="AA127" s="25"/>
    </row>
    <row r="128" spans="1:28" s="27" customFormat="1">
      <c r="A128" s="39"/>
      <c r="B128" s="321">
        <v>1</v>
      </c>
      <c r="C128" s="98" t="s">
        <v>208</v>
      </c>
      <c r="D128" s="42">
        <f t="shared" si="34"/>
        <v>2249</v>
      </c>
      <c r="E128" s="102">
        <v>2</v>
      </c>
      <c r="F128" s="103">
        <f t="shared" si="35"/>
        <v>102.648</v>
      </c>
      <c r="G128" s="319"/>
      <c r="H128" s="319"/>
      <c r="I128" s="319"/>
      <c r="J128" s="319"/>
      <c r="K128" s="104">
        <v>2249</v>
      </c>
      <c r="L128" s="105">
        <f t="shared" si="36"/>
        <v>2541.37</v>
      </c>
      <c r="M128" s="39"/>
      <c r="N128" s="39"/>
      <c r="O128" s="320"/>
      <c r="P128" s="320"/>
      <c r="Q128" s="39"/>
      <c r="R128" s="24"/>
      <c r="S128" s="71"/>
      <c r="T128" s="71"/>
      <c r="U128" s="71"/>
      <c r="V128" s="25"/>
      <c r="W128" s="26"/>
      <c r="X128" s="26"/>
      <c r="AA128" s="25"/>
    </row>
    <row r="129" spans="1:27" s="27" customFormat="1">
      <c r="A129" s="39"/>
      <c r="B129" s="321">
        <v>1</v>
      </c>
      <c r="C129" s="98" t="s">
        <v>209</v>
      </c>
      <c r="D129" s="42">
        <f t="shared" si="34"/>
        <v>3497</v>
      </c>
      <c r="E129" s="102">
        <v>2</v>
      </c>
      <c r="F129" s="103">
        <f t="shared" si="35"/>
        <v>102.648</v>
      </c>
      <c r="G129" s="319"/>
      <c r="H129" s="319"/>
      <c r="I129" s="319"/>
      <c r="J129" s="319"/>
      <c r="K129" s="104">
        <v>3497</v>
      </c>
      <c r="L129" s="105">
        <f t="shared" si="36"/>
        <v>3951.6099999999997</v>
      </c>
      <c r="M129" s="39"/>
      <c r="N129" s="39"/>
      <c r="O129" s="320"/>
      <c r="P129" s="320"/>
      <c r="Q129" s="39"/>
      <c r="R129" s="24"/>
      <c r="S129" s="71"/>
      <c r="T129" s="71"/>
      <c r="U129" s="71"/>
      <c r="V129" s="25"/>
      <c r="W129" s="26"/>
      <c r="X129" s="26"/>
      <c r="AA129" s="25"/>
    </row>
    <row r="130" spans="1:27" s="27" customFormat="1">
      <c r="A130" s="39"/>
      <c r="B130" s="321">
        <v>1</v>
      </c>
      <c r="C130" s="98" t="s">
        <v>210</v>
      </c>
      <c r="D130" s="42">
        <f t="shared" si="34"/>
        <v>929</v>
      </c>
      <c r="E130" s="102">
        <v>2</v>
      </c>
      <c r="F130" s="103">
        <f t="shared" si="35"/>
        <v>102.648</v>
      </c>
      <c r="G130" s="319"/>
      <c r="H130" s="319"/>
      <c r="I130" s="319"/>
      <c r="J130" s="319"/>
      <c r="K130" s="104">
        <v>929</v>
      </c>
      <c r="L130" s="105">
        <f t="shared" si="36"/>
        <v>1049.77</v>
      </c>
      <c r="M130" s="39"/>
      <c r="N130" s="39"/>
      <c r="O130" s="320"/>
      <c r="P130" s="320"/>
      <c r="Q130" s="39"/>
      <c r="R130" s="24"/>
      <c r="S130" s="71"/>
      <c r="T130" s="71"/>
      <c r="U130" s="71"/>
      <c r="V130" s="25"/>
      <c r="W130" s="26"/>
      <c r="X130" s="26"/>
      <c r="AA130" s="25"/>
    </row>
    <row r="131" spans="1:27">
      <c r="A131" s="39"/>
      <c r="B131" s="321">
        <v>2</v>
      </c>
      <c r="C131" s="98" t="s">
        <v>211</v>
      </c>
      <c r="D131" s="42">
        <f t="shared" si="34"/>
        <v>3809</v>
      </c>
      <c r="E131" s="102">
        <v>3</v>
      </c>
      <c r="F131" s="103">
        <f t="shared" si="35"/>
        <v>153.97199999999998</v>
      </c>
      <c r="G131" s="319"/>
      <c r="H131" s="319"/>
      <c r="I131" s="319"/>
      <c r="J131" s="319"/>
      <c r="K131" s="104">
        <v>3809</v>
      </c>
      <c r="L131" s="105">
        <f>K131*1.13</f>
        <v>4304.1699999999992</v>
      </c>
      <c r="M131" s="39"/>
      <c r="N131" s="39"/>
      <c r="O131" s="320"/>
      <c r="P131" s="320"/>
      <c r="Q131" s="39"/>
      <c r="R131" s="24"/>
    </row>
    <row r="132" spans="1:27" ht="37.5">
      <c r="A132" s="39"/>
      <c r="B132" s="321">
        <v>4</v>
      </c>
      <c r="C132" s="98" t="s">
        <v>212</v>
      </c>
      <c r="D132" s="42">
        <f t="shared" si="34"/>
        <v>3974</v>
      </c>
      <c r="E132" s="102">
        <v>6</v>
      </c>
      <c r="F132" s="103">
        <f t="shared" si="35"/>
        <v>307.94399999999996</v>
      </c>
      <c r="G132" s="319"/>
      <c r="H132" s="319"/>
      <c r="I132" s="319"/>
      <c r="J132" s="319"/>
      <c r="K132" s="104">
        <v>3974</v>
      </c>
      <c r="L132" s="105">
        <f t="shared" si="36"/>
        <v>4490.62</v>
      </c>
      <c r="M132" s="39"/>
      <c r="N132" s="39"/>
      <c r="O132" s="320"/>
      <c r="P132" s="320"/>
      <c r="Q132" s="39"/>
      <c r="R132" s="24"/>
    </row>
    <row r="133" spans="1:27">
      <c r="A133" s="39"/>
      <c r="B133" s="321">
        <v>3</v>
      </c>
      <c r="C133" s="98" t="s">
        <v>213</v>
      </c>
      <c r="D133" s="42">
        <f t="shared" si="34"/>
        <v>7445</v>
      </c>
      <c r="E133" s="102">
        <v>0</v>
      </c>
      <c r="F133" s="103">
        <f t="shared" si="35"/>
        <v>0</v>
      </c>
      <c r="G133" s="319"/>
      <c r="H133" s="319"/>
      <c r="I133" s="319"/>
      <c r="J133" s="319"/>
      <c r="K133" s="120">
        <v>7445</v>
      </c>
      <c r="L133" s="105">
        <f t="shared" si="36"/>
        <v>8412.8499999999985</v>
      </c>
      <c r="M133" s="39"/>
      <c r="N133" s="39"/>
      <c r="O133" s="320"/>
      <c r="P133" s="320"/>
      <c r="Q133" s="39"/>
      <c r="R133" s="24"/>
    </row>
    <row r="134" spans="1:27">
      <c r="A134" s="39"/>
      <c r="B134" s="321">
        <v>1</v>
      </c>
      <c r="C134" s="98" t="s">
        <v>214</v>
      </c>
      <c r="D134" s="42">
        <f t="shared" si="34"/>
        <v>328</v>
      </c>
      <c r="E134" s="102">
        <v>0</v>
      </c>
      <c r="F134" s="103">
        <f t="shared" si="35"/>
        <v>0</v>
      </c>
      <c r="G134" s="319"/>
      <c r="H134" s="319"/>
      <c r="I134" s="319"/>
      <c r="J134" s="319"/>
      <c r="K134" s="120">
        <v>328</v>
      </c>
      <c r="L134" s="105">
        <v>579.68200000000002</v>
      </c>
      <c r="M134" s="39"/>
      <c r="N134" s="39"/>
      <c r="O134" s="320"/>
      <c r="P134" s="320"/>
      <c r="Q134" s="39"/>
      <c r="R134" s="24"/>
    </row>
    <row r="135" spans="1:27">
      <c r="A135" s="39"/>
      <c r="B135" s="321">
        <v>1</v>
      </c>
      <c r="C135" s="98" t="s">
        <v>215</v>
      </c>
      <c r="D135" s="42">
        <f t="shared" si="34"/>
        <v>3104</v>
      </c>
      <c r="E135" s="102">
        <v>2</v>
      </c>
      <c r="F135" s="103">
        <f t="shared" si="35"/>
        <v>102.648</v>
      </c>
      <c r="G135" s="319"/>
      <c r="H135" s="319"/>
      <c r="I135" s="319"/>
      <c r="J135" s="319"/>
      <c r="K135" s="120">
        <v>3104</v>
      </c>
      <c r="L135" s="105">
        <f t="shared" si="36"/>
        <v>3507.5199999999995</v>
      </c>
      <c r="M135" s="39"/>
      <c r="N135" s="39"/>
      <c r="O135" s="320"/>
      <c r="P135" s="320"/>
      <c r="Q135" s="39"/>
      <c r="R135" s="24"/>
    </row>
    <row r="136" spans="1:27">
      <c r="A136" s="39"/>
      <c r="B136" s="318">
        <f>SUM(B123:B135)</f>
        <v>25</v>
      </c>
      <c r="C136" s="324" t="s">
        <v>4</v>
      </c>
      <c r="D136" s="323">
        <f>SUM(D123:D135)</f>
        <v>41712</v>
      </c>
      <c r="E136" s="323">
        <f t="shared" ref="E136:L136" si="37">SUM(E123:E135)</f>
        <v>36</v>
      </c>
      <c r="F136" s="323">
        <f t="shared" si="37"/>
        <v>1847.6639999999995</v>
      </c>
      <c r="G136" s="323">
        <f t="shared" si="37"/>
        <v>0</v>
      </c>
      <c r="H136" s="323">
        <f t="shared" si="37"/>
        <v>0</v>
      </c>
      <c r="I136" s="323">
        <f t="shared" si="37"/>
        <v>0</v>
      </c>
      <c r="J136" s="323">
        <f t="shared" si="37"/>
        <v>0</v>
      </c>
      <c r="K136" s="323">
        <f t="shared" si="37"/>
        <v>41712</v>
      </c>
      <c r="L136" s="323">
        <f t="shared" si="37"/>
        <v>47343.601999999999</v>
      </c>
      <c r="M136" s="39"/>
      <c r="N136" s="39"/>
      <c r="O136" s="320"/>
      <c r="P136" s="320"/>
      <c r="Q136" s="39"/>
      <c r="R136" s="24"/>
    </row>
    <row r="137" spans="1:27">
      <c r="A137" s="39"/>
      <c r="B137" s="318"/>
      <c r="C137" s="39"/>
      <c r="D137" s="39"/>
      <c r="E137" s="39"/>
      <c r="F137" s="319"/>
      <c r="G137" s="319"/>
      <c r="H137" s="319"/>
      <c r="I137" s="319"/>
      <c r="J137" s="319"/>
      <c r="K137" s="319"/>
      <c r="L137" s="319"/>
      <c r="M137" s="39"/>
      <c r="N137" s="39"/>
      <c r="O137" s="320"/>
      <c r="P137" s="320"/>
      <c r="Q137" s="39"/>
      <c r="R137" s="24"/>
    </row>
    <row r="138" spans="1:27">
      <c r="A138" s="39"/>
      <c r="B138" s="318"/>
      <c r="C138" s="39"/>
      <c r="D138" s="39"/>
      <c r="E138" s="39"/>
      <c r="F138" s="319"/>
      <c r="G138" s="319"/>
      <c r="H138" s="319"/>
      <c r="I138" s="319"/>
      <c r="J138" s="319"/>
      <c r="K138" s="319"/>
      <c r="L138" s="319"/>
      <c r="M138" s="39"/>
      <c r="N138" s="39"/>
      <c r="O138" s="320"/>
      <c r="P138" s="320"/>
      <c r="Q138" s="39"/>
      <c r="R138" s="24"/>
    </row>
    <row r="139" spans="1:27">
      <c r="A139" s="39"/>
      <c r="B139" s="318"/>
      <c r="C139" s="39"/>
      <c r="D139" s="39"/>
      <c r="E139" s="39"/>
      <c r="F139" s="319"/>
      <c r="G139" s="319"/>
      <c r="H139" s="319"/>
      <c r="I139" s="319"/>
      <c r="J139" s="319"/>
      <c r="K139" s="319"/>
      <c r="L139" s="319"/>
      <c r="M139" s="39"/>
      <c r="N139" s="39"/>
      <c r="O139" s="320"/>
      <c r="P139" s="320"/>
      <c r="Q139" s="39"/>
      <c r="R139" s="24"/>
    </row>
    <row r="140" spans="1:27">
      <c r="A140" s="39"/>
      <c r="B140" s="318"/>
      <c r="C140" s="39"/>
      <c r="D140" s="39"/>
      <c r="E140" s="39"/>
      <c r="F140" s="319"/>
      <c r="G140" s="319"/>
      <c r="H140" s="319"/>
      <c r="I140" s="319"/>
      <c r="J140" s="319"/>
      <c r="K140" s="319"/>
      <c r="L140" s="319"/>
      <c r="M140" s="39"/>
      <c r="N140" s="39"/>
      <c r="O140" s="320"/>
      <c r="P140" s="320"/>
      <c r="Q140" s="39"/>
      <c r="R140" s="24"/>
    </row>
    <row r="141" spans="1:27">
      <c r="A141" s="39"/>
      <c r="B141" s="318"/>
      <c r="C141" s="39"/>
      <c r="D141" s="39"/>
      <c r="E141" s="39"/>
      <c r="F141" s="319"/>
      <c r="G141" s="319"/>
      <c r="H141" s="319"/>
      <c r="I141" s="319"/>
      <c r="J141" s="319"/>
      <c r="K141" s="319"/>
      <c r="L141" s="319"/>
      <c r="M141" s="39"/>
      <c r="N141" s="39"/>
      <c r="O141" s="320"/>
      <c r="P141" s="320"/>
      <c r="Q141" s="39"/>
      <c r="R141" s="24"/>
    </row>
    <row r="142" spans="1:27">
      <c r="A142" s="39"/>
      <c r="B142" s="318"/>
      <c r="C142" s="39"/>
      <c r="D142" s="39"/>
      <c r="E142" s="39"/>
      <c r="F142" s="319"/>
      <c r="G142" s="319"/>
      <c r="H142" s="319"/>
      <c r="I142" s="319"/>
      <c r="J142" s="319"/>
      <c r="K142" s="319"/>
      <c r="L142" s="319"/>
      <c r="M142" s="39"/>
      <c r="N142" s="39"/>
      <c r="O142" s="320"/>
      <c r="P142" s="320"/>
      <c r="Q142" s="39"/>
      <c r="R142" s="24"/>
    </row>
    <row r="143" spans="1:27">
      <c r="A143" s="39"/>
      <c r="B143" s="318"/>
      <c r="C143" s="39"/>
      <c r="D143" s="39"/>
      <c r="E143" s="39"/>
      <c r="F143" s="319"/>
      <c r="G143" s="319"/>
      <c r="H143" s="319"/>
      <c r="I143" s="319"/>
      <c r="J143" s="319"/>
      <c r="K143" s="319"/>
      <c r="L143" s="319"/>
      <c r="M143" s="39"/>
      <c r="N143" s="39"/>
      <c r="O143" s="320"/>
      <c r="P143" s="320"/>
      <c r="Q143" s="39"/>
      <c r="R143" s="24"/>
    </row>
    <row r="144" spans="1:27">
      <c r="A144" s="39"/>
      <c r="B144" s="318"/>
      <c r="C144" s="39"/>
      <c r="D144" s="39"/>
      <c r="E144" s="39"/>
      <c r="F144" s="319"/>
      <c r="G144" s="319"/>
      <c r="H144" s="319"/>
      <c r="I144" s="319"/>
      <c r="J144" s="319"/>
      <c r="K144" s="319"/>
      <c r="L144" s="319"/>
      <c r="M144" s="39"/>
      <c r="N144" s="39"/>
      <c r="O144" s="320"/>
      <c r="P144" s="320"/>
      <c r="Q144" s="39"/>
      <c r="R144" s="24"/>
    </row>
    <row r="145" spans="1:18">
      <c r="A145" s="39"/>
      <c r="B145" s="318"/>
      <c r="C145" s="39"/>
      <c r="D145" s="39"/>
      <c r="E145" s="39"/>
      <c r="F145" s="319"/>
      <c r="G145" s="319"/>
      <c r="H145" s="319"/>
      <c r="I145" s="319"/>
      <c r="J145" s="319"/>
      <c r="K145" s="319"/>
      <c r="L145" s="319"/>
      <c r="M145" s="39"/>
      <c r="N145" s="39"/>
      <c r="O145" s="320"/>
      <c r="P145" s="320"/>
      <c r="Q145" s="39"/>
      <c r="R145" s="24"/>
    </row>
  </sheetData>
  <mergeCells count="39">
    <mergeCell ref="A6:A8"/>
    <mergeCell ref="B6:B8"/>
    <mergeCell ref="C6:C8"/>
    <mergeCell ref="D6:D8"/>
    <mergeCell ref="K6:L7"/>
    <mergeCell ref="M6:M8"/>
    <mergeCell ref="N6:N8"/>
    <mergeCell ref="B3:C3"/>
    <mergeCell ref="B4:C4"/>
    <mergeCell ref="A68:V68"/>
    <mergeCell ref="A9:V9"/>
    <mergeCell ref="O6:O8"/>
    <mergeCell ref="P6:P8"/>
    <mergeCell ref="Q6:Q8"/>
    <mergeCell ref="E6:F7"/>
    <mergeCell ref="G6:H7"/>
    <mergeCell ref="I6:J7"/>
    <mergeCell ref="A12:V12"/>
    <mergeCell ref="M14:R14"/>
    <mergeCell ref="A18:V18"/>
    <mergeCell ref="A34:V34"/>
    <mergeCell ref="Y6:Y8"/>
    <mergeCell ref="Z6:Z8"/>
    <mergeCell ref="AA6:AA8"/>
    <mergeCell ref="R7:R8"/>
    <mergeCell ref="S7:U7"/>
    <mergeCell ref="V6:V8"/>
    <mergeCell ref="W6:W8"/>
    <mergeCell ref="X6:X8"/>
    <mergeCell ref="Q61:R61"/>
    <mergeCell ref="A100:V100"/>
    <mergeCell ref="A108:V108"/>
    <mergeCell ref="A111:V111"/>
    <mergeCell ref="Q121:V121"/>
    <mergeCell ref="A73:V73"/>
    <mergeCell ref="N74:R74"/>
    <mergeCell ref="N75:R75"/>
    <mergeCell ref="Q85:U85"/>
    <mergeCell ref="A93:V93"/>
  </mergeCells>
  <pageMargins left="0.70866141732283472" right="0.70866141732283472" top="0.74803149606299213" bottom="0.74803149606299213" header="0.31496062992125984" footer="0.31496062992125984"/>
  <pageSetup paperSize="9" scale="55" fitToWidth="0" fitToHeight="0" orientation="landscape" r:id="rId1"/>
  <rowBreaks count="2" manualBreakCount="2">
    <brk id="33" max="25" man="1"/>
    <brk id="92" max="25" man="1"/>
  </rowBreaks>
  <colBreaks count="2" manualBreakCount="2">
    <brk id="21" max="155" man="1"/>
    <brk id="22" max="1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view="pageBreakPreview" zoomScale="91" zoomScaleNormal="90" zoomScaleSheetLayoutView="91" workbookViewId="0">
      <pane ySplit="3" topLeftCell="A99" activePane="bottomLeft" state="frozen"/>
      <selection pane="bottomLeft" activeCell="A107" sqref="A107:C125"/>
    </sheetView>
  </sheetViews>
  <sheetFormatPr defaultColWidth="9.140625" defaultRowHeight="18.75"/>
  <cols>
    <col min="1" max="1" width="12.42578125" style="25" customWidth="1"/>
    <col min="2" max="2" width="25.5703125" style="28" customWidth="1"/>
    <col min="3" max="3" width="68.5703125" style="336" customWidth="1"/>
    <col min="4" max="16384" width="9.140625" style="25"/>
  </cols>
  <sheetData>
    <row r="1" spans="1:5">
      <c r="A1" s="377" t="s">
        <v>312</v>
      </c>
      <c r="B1" s="378"/>
      <c r="C1" s="378"/>
      <c r="D1" s="27"/>
      <c r="E1" s="27"/>
    </row>
    <row r="2" spans="1:5">
      <c r="A2" s="39"/>
      <c r="B2" s="318"/>
      <c r="C2" s="379"/>
    </row>
    <row r="3" spans="1:5" ht="33" customHeight="1">
      <c r="A3" s="380" t="s">
        <v>0</v>
      </c>
      <c r="B3" s="380" t="s">
        <v>17</v>
      </c>
      <c r="C3" s="380" t="s">
        <v>1</v>
      </c>
    </row>
    <row r="4" spans="1:5" s="369" customFormat="1" ht="18.75" customHeight="1">
      <c r="A4" s="332">
        <v>1</v>
      </c>
      <c r="B4" s="332">
        <v>2</v>
      </c>
      <c r="C4" s="332">
        <v>3</v>
      </c>
    </row>
    <row r="5" spans="1:5" ht="20.100000000000001" customHeight="1">
      <c r="A5" s="423" t="s">
        <v>13</v>
      </c>
      <c r="B5" s="423"/>
      <c r="C5" s="423"/>
    </row>
    <row r="6" spans="1:5" ht="20.100000000000001" customHeight="1">
      <c r="A6" s="282">
        <v>1</v>
      </c>
      <c r="B6" s="13">
        <v>1</v>
      </c>
      <c r="C6" s="333" t="s">
        <v>19</v>
      </c>
      <c r="E6" s="30"/>
    </row>
    <row r="7" spans="1:5" ht="20.100000000000001" customHeight="1">
      <c r="A7" s="17">
        <v>1</v>
      </c>
      <c r="B7" s="19">
        <f>SUM(B6:B6)</f>
        <v>1</v>
      </c>
      <c r="C7" s="18" t="s">
        <v>4</v>
      </c>
      <c r="E7" s="30"/>
    </row>
    <row r="8" spans="1:5" ht="20.100000000000001" customHeight="1">
      <c r="A8" s="423" t="s">
        <v>5</v>
      </c>
      <c r="B8" s="423"/>
      <c r="C8" s="423"/>
      <c r="E8" s="30"/>
    </row>
    <row r="9" spans="1:5" ht="20.100000000000001" customHeight="1">
      <c r="A9" s="302">
        <v>1</v>
      </c>
      <c r="B9" s="260">
        <v>3</v>
      </c>
      <c r="C9" s="333" t="s">
        <v>99</v>
      </c>
      <c r="E9" s="30"/>
    </row>
    <row r="10" spans="1:5" ht="20.100000000000001" customHeight="1">
      <c r="A10" s="302">
        <v>2</v>
      </c>
      <c r="B10" s="260">
        <v>1</v>
      </c>
      <c r="C10" s="333" t="s">
        <v>103</v>
      </c>
      <c r="E10" s="30"/>
    </row>
    <row r="11" spans="1:5" ht="20.100000000000001" customHeight="1">
      <c r="A11" s="302">
        <v>3</v>
      </c>
      <c r="B11" s="260">
        <v>1</v>
      </c>
      <c r="C11" s="333" t="s">
        <v>100</v>
      </c>
      <c r="E11" s="30"/>
    </row>
    <row r="12" spans="1:5" ht="20.100000000000001" customHeight="1">
      <c r="A12" s="17">
        <v>3</v>
      </c>
      <c r="B12" s="19">
        <f>SUM(B9:B11)</f>
        <v>5</v>
      </c>
      <c r="C12" s="18" t="s">
        <v>4</v>
      </c>
      <c r="E12" s="30"/>
    </row>
    <row r="13" spans="1:5" ht="20.100000000000001" customHeight="1">
      <c r="A13" s="423" t="s">
        <v>11</v>
      </c>
      <c r="B13" s="423"/>
      <c r="C13" s="423"/>
      <c r="E13" s="30"/>
    </row>
    <row r="14" spans="1:5" s="27" customFormat="1" ht="20.100000000000001" customHeight="1">
      <c r="A14" s="302">
        <v>1</v>
      </c>
      <c r="B14" s="13">
        <v>1</v>
      </c>
      <c r="C14" s="338" t="s">
        <v>104</v>
      </c>
      <c r="D14" s="25"/>
      <c r="E14" s="30"/>
    </row>
    <row r="15" spans="1:5" s="27" customFormat="1" ht="20.100000000000001" customHeight="1">
      <c r="A15" s="302">
        <v>2</v>
      </c>
      <c r="B15" s="13">
        <v>2</v>
      </c>
      <c r="C15" s="338" t="s">
        <v>257</v>
      </c>
      <c r="D15" s="25"/>
      <c r="E15" s="30"/>
    </row>
    <row r="16" spans="1:5" s="27" customFormat="1" ht="20.100000000000001" customHeight="1">
      <c r="A16" s="302">
        <v>3</v>
      </c>
      <c r="B16" s="335">
        <v>3</v>
      </c>
      <c r="C16" s="338" t="s">
        <v>107</v>
      </c>
      <c r="D16" s="25"/>
      <c r="E16" s="30"/>
    </row>
    <row r="17" spans="1:5" s="27" customFormat="1" ht="20.100000000000001" customHeight="1">
      <c r="A17" s="302">
        <v>4</v>
      </c>
      <c r="B17" s="13">
        <v>2</v>
      </c>
      <c r="C17" s="338" t="s">
        <v>232</v>
      </c>
      <c r="D17" s="25"/>
      <c r="E17" s="30"/>
    </row>
    <row r="18" spans="1:5" s="27" customFormat="1" ht="20.100000000000001" customHeight="1">
      <c r="A18" s="302">
        <v>5</v>
      </c>
      <c r="B18" s="13">
        <v>2</v>
      </c>
      <c r="C18" s="338" t="s">
        <v>124</v>
      </c>
      <c r="D18" s="25"/>
      <c r="E18" s="30"/>
    </row>
    <row r="19" spans="1:5" s="27" customFormat="1" ht="20.100000000000001" customHeight="1">
      <c r="A19" s="302">
        <v>6</v>
      </c>
      <c r="B19" s="13">
        <v>1</v>
      </c>
      <c r="C19" s="338" t="s">
        <v>110</v>
      </c>
      <c r="D19" s="25"/>
      <c r="E19" s="30"/>
    </row>
    <row r="20" spans="1:5" s="27" customFormat="1" ht="20.100000000000001" customHeight="1">
      <c r="A20" s="302">
        <v>7</v>
      </c>
      <c r="B20" s="13">
        <v>1</v>
      </c>
      <c r="C20" s="338" t="s">
        <v>240</v>
      </c>
      <c r="D20" s="25"/>
      <c r="E20" s="30"/>
    </row>
    <row r="21" spans="1:5" s="27" customFormat="1" ht="20.100000000000001" customHeight="1">
      <c r="A21" s="302">
        <v>8</v>
      </c>
      <c r="B21" s="13">
        <v>3</v>
      </c>
      <c r="C21" s="338" t="s">
        <v>112</v>
      </c>
      <c r="D21" s="25"/>
      <c r="E21" s="30"/>
    </row>
    <row r="22" spans="1:5" s="27" customFormat="1" ht="20.100000000000001" customHeight="1">
      <c r="A22" s="302">
        <v>9</v>
      </c>
      <c r="B22" s="13">
        <v>1</v>
      </c>
      <c r="C22" s="338" t="s">
        <v>115</v>
      </c>
      <c r="D22" s="25"/>
      <c r="E22" s="30"/>
    </row>
    <row r="23" spans="1:5" s="27" customFormat="1" ht="20.100000000000001" customHeight="1">
      <c r="A23" s="302">
        <v>10</v>
      </c>
      <c r="B23" s="13">
        <v>3</v>
      </c>
      <c r="C23" s="338" t="s">
        <v>255</v>
      </c>
      <c r="D23" s="25"/>
      <c r="E23" s="30"/>
    </row>
    <row r="24" spans="1:5" s="27" customFormat="1" ht="20.100000000000001" customHeight="1">
      <c r="A24" s="302">
        <v>11</v>
      </c>
      <c r="B24" s="13">
        <v>2</v>
      </c>
      <c r="C24" s="338" t="s">
        <v>125</v>
      </c>
      <c r="D24" s="25"/>
      <c r="E24" s="30"/>
    </row>
    <row r="25" spans="1:5" s="27" customFormat="1" ht="20.100000000000001" customHeight="1">
      <c r="A25" s="302">
        <v>12</v>
      </c>
      <c r="B25" s="13">
        <v>3</v>
      </c>
      <c r="C25" s="338" t="s">
        <v>256</v>
      </c>
      <c r="D25" s="25"/>
      <c r="E25" s="30"/>
    </row>
    <row r="26" spans="1:5" s="27" customFormat="1" ht="20.100000000000001" customHeight="1">
      <c r="A26" s="302">
        <v>13</v>
      </c>
      <c r="B26" s="302">
        <v>4</v>
      </c>
      <c r="C26" s="338" t="s">
        <v>289</v>
      </c>
      <c r="D26" s="25"/>
      <c r="E26" s="30"/>
    </row>
    <row r="27" spans="1:5" s="27" customFormat="1" ht="20.100000000000001" customHeight="1">
      <c r="A27" s="302">
        <v>14</v>
      </c>
      <c r="B27" s="13">
        <v>1</v>
      </c>
      <c r="C27" s="338" t="s">
        <v>128</v>
      </c>
      <c r="D27" s="25"/>
      <c r="E27" s="30"/>
    </row>
    <row r="28" spans="1:5" s="27" customFormat="1" ht="20.100000000000001" customHeight="1">
      <c r="A28" s="302">
        <v>15</v>
      </c>
      <c r="B28" s="13">
        <v>1</v>
      </c>
      <c r="C28" s="338" t="s">
        <v>117</v>
      </c>
      <c r="D28" s="25"/>
      <c r="E28" s="30"/>
    </row>
    <row r="29" spans="1:5" s="27" customFormat="1" ht="20.100000000000001" customHeight="1">
      <c r="A29" s="302">
        <v>16</v>
      </c>
      <c r="B29" s="13">
        <v>1</v>
      </c>
      <c r="C29" s="338" t="s">
        <v>121</v>
      </c>
      <c r="D29" s="25"/>
      <c r="E29" s="30"/>
    </row>
    <row r="30" spans="1:5" s="27" customFormat="1" ht="20.100000000000001" customHeight="1">
      <c r="A30" s="302">
        <v>17</v>
      </c>
      <c r="B30" s="13">
        <v>1</v>
      </c>
      <c r="C30" s="338" t="s">
        <v>247</v>
      </c>
      <c r="D30" s="25"/>
      <c r="E30" s="30"/>
    </row>
    <row r="31" spans="1:5" s="27" customFormat="1" ht="20.100000000000001" customHeight="1">
      <c r="A31" s="302">
        <v>18</v>
      </c>
      <c r="B31" s="13">
        <v>3</v>
      </c>
      <c r="C31" s="338" t="s">
        <v>248</v>
      </c>
      <c r="D31" s="25"/>
      <c r="E31" s="30"/>
    </row>
    <row r="32" spans="1:5" s="27" customFormat="1" ht="20.100000000000001" customHeight="1">
      <c r="A32" s="302">
        <v>19</v>
      </c>
      <c r="B32" s="13">
        <v>1</v>
      </c>
      <c r="C32" s="338" t="s">
        <v>123</v>
      </c>
      <c r="D32" s="25"/>
      <c r="E32" s="30"/>
    </row>
    <row r="33" spans="1:5" ht="20.100000000000001" customHeight="1">
      <c r="A33" s="17">
        <v>19</v>
      </c>
      <c r="B33" s="305">
        <f>SUM(B14:B32)</f>
        <v>36</v>
      </c>
      <c r="C33" s="18" t="s">
        <v>4</v>
      </c>
      <c r="E33" s="30"/>
    </row>
    <row r="34" spans="1:5" ht="20.100000000000001" customHeight="1">
      <c r="A34" s="423" t="s">
        <v>14</v>
      </c>
      <c r="B34" s="423"/>
      <c r="C34" s="423"/>
      <c r="E34" s="30"/>
    </row>
    <row r="35" spans="1:5" s="27" customFormat="1" ht="20.100000000000001" customHeight="1">
      <c r="A35" s="282">
        <v>1</v>
      </c>
      <c r="B35" s="328">
        <v>1</v>
      </c>
      <c r="C35" s="337" t="s">
        <v>129</v>
      </c>
      <c r="D35" s="25"/>
      <c r="E35" s="30"/>
    </row>
    <row r="36" spans="1:5" s="27" customFormat="1" ht="20.100000000000001" customHeight="1">
      <c r="A36" s="282">
        <v>2</v>
      </c>
      <c r="B36" s="328">
        <v>4</v>
      </c>
      <c r="C36" s="337" t="s">
        <v>130</v>
      </c>
      <c r="D36" s="25"/>
      <c r="E36" s="30"/>
    </row>
    <row r="37" spans="1:5" s="27" customFormat="1" ht="20.100000000000001" customHeight="1">
      <c r="A37" s="282">
        <v>3</v>
      </c>
      <c r="B37" s="328">
        <v>2</v>
      </c>
      <c r="C37" s="337" t="s">
        <v>131</v>
      </c>
      <c r="D37" s="25"/>
      <c r="E37" s="30"/>
    </row>
    <row r="38" spans="1:5" s="27" customFormat="1" ht="20.100000000000001" customHeight="1">
      <c r="A38" s="282">
        <v>4</v>
      </c>
      <c r="B38" s="328">
        <v>2</v>
      </c>
      <c r="C38" s="338" t="s">
        <v>265</v>
      </c>
      <c r="D38" s="25"/>
      <c r="E38" s="30"/>
    </row>
    <row r="39" spans="1:5" s="27" customFormat="1" ht="20.100000000000001" customHeight="1">
      <c r="A39" s="302">
        <v>5</v>
      </c>
      <c r="B39" s="13">
        <v>4</v>
      </c>
      <c r="C39" s="338" t="s">
        <v>296</v>
      </c>
      <c r="D39" s="25"/>
      <c r="E39" s="30"/>
    </row>
    <row r="40" spans="1:5" s="27" customFormat="1" ht="20.100000000000001" customHeight="1">
      <c r="A40" s="282">
        <v>6</v>
      </c>
      <c r="B40" s="260">
        <v>1</v>
      </c>
      <c r="C40" s="338" t="s">
        <v>135</v>
      </c>
      <c r="D40" s="25"/>
      <c r="E40" s="30"/>
    </row>
    <row r="41" spans="1:5" s="27" customFormat="1" ht="20.100000000000001" customHeight="1">
      <c r="A41" s="282">
        <v>7</v>
      </c>
      <c r="B41" s="260">
        <v>2</v>
      </c>
      <c r="C41" s="338" t="s">
        <v>137</v>
      </c>
      <c r="D41" s="25"/>
      <c r="E41" s="30"/>
    </row>
    <row r="42" spans="1:5" s="27" customFormat="1" ht="20.100000000000001" customHeight="1">
      <c r="A42" s="282">
        <v>8</v>
      </c>
      <c r="B42" s="260">
        <v>2</v>
      </c>
      <c r="C42" s="338" t="s">
        <v>138</v>
      </c>
      <c r="D42" s="25"/>
      <c r="E42" s="30"/>
    </row>
    <row r="43" spans="1:5" s="27" customFormat="1" ht="20.100000000000001" customHeight="1">
      <c r="A43" s="302">
        <v>9</v>
      </c>
      <c r="B43" s="260">
        <v>2</v>
      </c>
      <c r="C43" s="338" t="s">
        <v>290</v>
      </c>
      <c r="D43" s="25"/>
      <c r="E43" s="30"/>
    </row>
    <row r="44" spans="1:5" ht="20.100000000000001" customHeight="1">
      <c r="A44" s="325">
        <v>9</v>
      </c>
      <c r="B44" s="19">
        <f>SUM(B35:B43)</f>
        <v>20</v>
      </c>
      <c r="C44" s="18" t="s">
        <v>4</v>
      </c>
      <c r="E44" s="30"/>
    </row>
    <row r="45" spans="1:5" ht="20.100000000000001" customHeight="1">
      <c r="A45" s="423" t="s">
        <v>3</v>
      </c>
      <c r="B45" s="423"/>
      <c r="C45" s="423"/>
      <c r="E45" s="30"/>
    </row>
    <row r="46" spans="1:5" ht="20.100000000000001" customHeight="1">
      <c r="A46" s="282">
        <v>1</v>
      </c>
      <c r="B46" s="328">
        <v>1</v>
      </c>
      <c r="C46" s="337" t="s">
        <v>48</v>
      </c>
      <c r="E46" s="30"/>
    </row>
    <row r="47" spans="1:5" ht="20.100000000000001" customHeight="1">
      <c r="A47" s="282">
        <v>2</v>
      </c>
      <c r="B47" s="328">
        <v>1</v>
      </c>
      <c r="C47" s="337" t="s">
        <v>49</v>
      </c>
      <c r="E47" s="30"/>
    </row>
    <row r="48" spans="1:5" ht="20.100000000000001" customHeight="1">
      <c r="A48" s="282">
        <v>3</v>
      </c>
      <c r="B48" s="328">
        <v>1</v>
      </c>
      <c r="C48" s="337" t="s">
        <v>50</v>
      </c>
      <c r="E48" s="30"/>
    </row>
    <row r="49" spans="1:5" ht="20.100000000000001" customHeight="1">
      <c r="A49" s="282">
        <v>4</v>
      </c>
      <c r="B49" s="328">
        <v>1</v>
      </c>
      <c r="C49" s="337" t="s">
        <v>18</v>
      </c>
      <c r="E49" s="30"/>
    </row>
    <row r="50" spans="1:5" ht="20.100000000000001" customHeight="1">
      <c r="A50" s="17">
        <v>4</v>
      </c>
      <c r="B50" s="19">
        <f>SUM(B46:B49)</f>
        <v>4</v>
      </c>
      <c r="C50" s="18" t="s">
        <v>4</v>
      </c>
      <c r="E50" s="30"/>
    </row>
    <row r="51" spans="1:5" ht="20.100000000000001" customHeight="1">
      <c r="A51" s="423" t="s">
        <v>6</v>
      </c>
      <c r="B51" s="423"/>
      <c r="C51" s="423"/>
      <c r="E51" s="30"/>
    </row>
    <row r="52" spans="1:5" ht="20.100000000000001" customHeight="1">
      <c r="A52" s="282">
        <v>1</v>
      </c>
      <c r="B52" s="328">
        <v>1</v>
      </c>
      <c r="C52" s="337" t="s">
        <v>51</v>
      </c>
      <c r="E52" s="30"/>
    </row>
    <row r="53" spans="1:5" ht="20.100000000000001" customHeight="1">
      <c r="A53" s="282">
        <v>2</v>
      </c>
      <c r="B53" s="328">
        <v>1</v>
      </c>
      <c r="C53" s="337" t="s">
        <v>52</v>
      </c>
      <c r="E53" s="30"/>
    </row>
    <row r="54" spans="1:5" ht="20.100000000000001" customHeight="1">
      <c r="A54" s="282">
        <v>3</v>
      </c>
      <c r="B54" s="328">
        <v>1</v>
      </c>
      <c r="C54" s="337" t="s">
        <v>53</v>
      </c>
      <c r="E54" s="30"/>
    </row>
    <row r="55" spans="1:5" ht="20.100000000000001" customHeight="1">
      <c r="A55" s="282">
        <v>4</v>
      </c>
      <c r="B55" s="334">
        <v>3</v>
      </c>
      <c r="C55" s="337" t="s">
        <v>54</v>
      </c>
      <c r="E55" s="30"/>
    </row>
    <row r="56" spans="1:5" ht="20.100000000000001" customHeight="1">
      <c r="A56" s="282">
        <v>5</v>
      </c>
      <c r="B56" s="328">
        <v>1</v>
      </c>
      <c r="C56" s="337" t="s">
        <v>55</v>
      </c>
      <c r="E56" s="30"/>
    </row>
    <row r="57" spans="1:5" ht="20.100000000000001" customHeight="1">
      <c r="A57" s="282">
        <v>6</v>
      </c>
      <c r="B57" s="328">
        <v>1</v>
      </c>
      <c r="C57" s="337" t="s">
        <v>56</v>
      </c>
      <c r="E57" s="30"/>
    </row>
    <row r="58" spans="1:5" ht="20.100000000000001" customHeight="1">
      <c r="A58" s="282">
        <v>7</v>
      </c>
      <c r="B58" s="328">
        <v>1</v>
      </c>
      <c r="C58" s="337" t="s">
        <v>57</v>
      </c>
      <c r="E58" s="30"/>
    </row>
    <row r="59" spans="1:5" ht="20.100000000000001" customHeight="1">
      <c r="A59" s="282">
        <v>8</v>
      </c>
      <c r="B59" s="328">
        <v>1</v>
      </c>
      <c r="C59" s="337" t="s">
        <v>58</v>
      </c>
      <c r="E59" s="30"/>
    </row>
    <row r="60" spans="1:5" ht="20.100000000000001" customHeight="1">
      <c r="A60" s="282">
        <v>9</v>
      </c>
      <c r="B60" s="328">
        <v>1</v>
      </c>
      <c r="C60" s="337" t="s">
        <v>59</v>
      </c>
      <c r="E60" s="30"/>
    </row>
    <row r="61" spans="1:5" ht="20.100000000000001" customHeight="1">
      <c r="A61" s="282">
        <v>10</v>
      </c>
      <c r="B61" s="328">
        <v>1</v>
      </c>
      <c r="C61" s="337" t="s">
        <v>61</v>
      </c>
      <c r="E61" s="30"/>
    </row>
    <row r="62" spans="1:5" ht="20.100000000000001" customHeight="1">
      <c r="A62" s="282">
        <v>11</v>
      </c>
      <c r="B62" s="328">
        <v>1</v>
      </c>
      <c r="C62" s="337" t="s">
        <v>62</v>
      </c>
      <c r="E62" s="30"/>
    </row>
    <row r="63" spans="1:5" ht="20.100000000000001" customHeight="1">
      <c r="A63" s="282">
        <v>12</v>
      </c>
      <c r="B63" s="328">
        <v>4</v>
      </c>
      <c r="C63" s="337" t="s">
        <v>63</v>
      </c>
      <c r="E63" s="30"/>
    </row>
    <row r="64" spans="1:5" ht="20.100000000000001" customHeight="1">
      <c r="A64" s="282">
        <v>13</v>
      </c>
      <c r="B64" s="328">
        <v>2</v>
      </c>
      <c r="C64" s="337" t="s">
        <v>64</v>
      </c>
      <c r="E64" s="30"/>
    </row>
    <row r="65" spans="1:5" ht="20.100000000000001" customHeight="1">
      <c r="A65" s="17">
        <v>13</v>
      </c>
      <c r="B65" s="19">
        <f>SUM(B52:B64)</f>
        <v>19</v>
      </c>
      <c r="C65" s="18" t="s">
        <v>4</v>
      </c>
      <c r="E65" s="30"/>
    </row>
    <row r="66" spans="1:5" ht="20.100000000000001" customHeight="1">
      <c r="A66" s="423" t="s">
        <v>15</v>
      </c>
      <c r="B66" s="423"/>
      <c r="C66" s="423"/>
      <c r="E66" s="30"/>
    </row>
    <row r="67" spans="1:5" s="27" customFormat="1" ht="20.100000000000001" customHeight="1">
      <c r="A67" s="302">
        <v>1</v>
      </c>
      <c r="B67" s="13">
        <v>3</v>
      </c>
      <c r="C67" s="338" t="s">
        <v>144</v>
      </c>
      <c r="D67" s="25"/>
      <c r="E67" s="30"/>
    </row>
    <row r="68" spans="1:5" s="27" customFormat="1" ht="20.100000000000001" customHeight="1">
      <c r="A68" s="302">
        <v>2</v>
      </c>
      <c r="B68" s="13">
        <v>2</v>
      </c>
      <c r="C68" s="338" t="s">
        <v>145</v>
      </c>
      <c r="D68" s="25"/>
      <c r="E68" s="30"/>
    </row>
    <row r="69" spans="1:5" s="27" customFormat="1" ht="20.100000000000001" customHeight="1">
      <c r="A69" s="302">
        <v>3</v>
      </c>
      <c r="B69" s="13">
        <v>1</v>
      </c>
      <c r="C69" s="338" t="s">
        <v>146</v>
      </c>
      <c r="D69" s="25"/>
      <c r="E69" s="30"/>
    </row>
    <row r="70" spans="1:5" ht="20.100000000000001" customHeight="1">
      <c r="A70" s="325">
        <v>3</v>
      </c>
      <c r="B70" s="19">
        <f>SUM(B67:B69)</f>
        <v>6</v>
      </c>
      <c r="C70" s="18" t="s">
        <v>4</v>
      </c>
      <c r="E70" s="30"/>
    </row>
    <row r="71" spans="1:5" ht="20.100000000000001" customHeight="1">
      <c r="A71" s="423" t="s">
        <v>7</v>
      </c>
      <c r="B71" s="423"/>
      <c r="C71" s="423"/>
      <c r="E71" s="30"/>
    </row>
    <row r="72" spans="1:5" ht="20.100000000000001" customHeight="1">
      <c r="A72" s="282">
        <v>1</v>
      </c>
      <c r="B72" s="328">
        <v>1</v>
      </c>
      <c r="C72" s="337" t="s">
        <v>231</v>
      </c>
      <c r="E72" s="30"/>
    </row>
    <row r="73" spans="1:5" ht="20.100000000000001" customHeight="1">
      <c r="A73" s="282">
        <v>2</v>
      </c>
      <c r="B73" s="328">
        <v>1</v>
      </c>
      <c r="C73" s="337" t="s">
        <v>262</v>
      </c>
      <c r="E73" s="30"/>
    </row>
    <row r="74" spans="1:5" ht="20.100000000000001" customHeight="1">
      <c r="A74" s="282">
        <v>3</v>
      </c>
      <c r="B74" s="328">
        <v>2</v>
      </c>
      <c r="C74" s="337" t="s">
        <v>264</v>
      </c>
      <c r="E74" s="30"/>
    </row>
    <row r="75" spans="1:5" ht="20.100000000000001" customHeight="1">
      <c r="A75" s="282">
        <v>4</v>
      </c>
      <c r="B75" s="328">
        <v>1</v>
      </c>
      <c r="C75" s="337" t="s">
        <v>294</v>
      </c>
      <c r="E75" s="30"/>
    </row>
    <row r="76" spans="1:5" ht="20.100000000000001" customHeight="1">
      <c r="A76" s="282">
        <v>5</v>
      </c>
      <c r="B76" s="328">
        <v>1</v>
      </c>
      <c r="C76" s="337" t="s">
        <v>68</v>
      </c>
      <c r="E76" s="30"/>
    </row>
    <row r="77" spans="1:5" ht="20.100000000000001" customHeight="1">
      <c r="A77" s="282">
        <v>6</v>
      </c>
      <c r="B77" s="328">
        <v>2</v>
      </c>
      <c r="C77" s="337" t="s">
        <v>69</v>
      </c>
      <c r="E77" s="30"/>
    </row>
    <row r="78" spans="1:5" ht="20.100000000000001" customHeight="1">
      <c r="A78" s="282">
        <v>7</v>
      </c>
      <c r="B78" s="328">
        <v>2</v>
      </c>
      <c r="C78" s="337" t="s">
        <v>70</v>
      </c>
      <c r="E78" s="30"/>
    </row>
    <row r="79" spans="1:5" ht="20.100000000000001" customHeight="1">
      <c r="A79" s="282">
        <v>8</v>
      </c>
      <c r="B79" s="328">
        <v>2</v>
      </c>
      <c r="C79" s="337" t="s">
        <v>71</v>
      </c>
      <c r="E79" s="30"/>
    </row>
    <row r="80" spans="1:5" ht="20.100000000000001" customHeight="1">
      <c r="A80" s="282">
        <v>9</v>
      </c>
      <c r="B80" s="328">
        <v>1</v>
      </c>
      <c r="C80" s="337" t="s">
        <v>72</v>
      </c>
      <c r="E80" s="30"/>
    </row>
    <row r="81" spans="1:6" ht="20.100000000000001" customHeight="1">
      <c r="A81" s="282">
        <v>10</v>
      </c>
      <c r="B81" s="328">
        <v>1</v>
      </c>
      <c r="C81" s="337" t="s">
        <v>293</v>
      </c>
      <c r="E81" s="30"/>
    </row>
    <row r="82" spans="1:6" ht="20.100000000000001" customHeight="1">
      <c r="A82" s="282">
        <v>11</v>
      </c>
      <c r="B82" s="328">
        <v>1</v>
      </c>
      <c r="C82" s="337" t="s">
        <v>74</v>
      </c>
      <c r="E82" s="30"/>
    </row>
    <row r="83" spans="1:6" ht="20.100000000000001" customHeight="1">
      <c r="A83" s="282">
        <v>12</v>
      </c>
      <c r="B83" s="328">
        <v>2</v>
      </c>
      <c r="C83" s="337" t="s">
        <v>75</v>
      </c>
      <c r="D83" s="27"/>
      <c r="E83" s="363"/>
      <c r="F83" s="27"/>
    </row>
    <row r="84" spans="1:6" ht="20.100000000000001" customHeight="1">
      <c r="A84" s="282">
        <v>13</v>
      </c>
      <c r="B84" s="328">
        <v>2</v>
      </c>
      <c r="C84" s="337" t="s">
        <v>76</v>
      </c>
      <c r="E84" s="30"/>
    </row>
    <row r="85" spans="1:6" ht="20.100000000000001" customHeight="1">
      <c r="A85" s="282">
        <v>14</v>
      </c>
      <c r="B85" s="328">
        <v>2</v>
      </c>
      <c r="C85" s="337" t="s">
        <v>77</v>
      </c>
      <c r="E85" s="30"/>
    </row>
    <row r="86" spans="1:6" ht="20.100000000000001" customHeight="1">
      <c r="A86" s="282">
        <v>15</v>
      </c>
      <c r="B86" s="328">
        <v>2</v>
      </c>
      <c r="C86" s="337" t="s">
        <v>78</v>
      </c>
      <c r="E86" s="30"/>
    </row>
    <row r="87" spans="1:6" ht="20.100000000000001" customHeight="1">
      <c r="A87" s="282">
        <v>16</v>
      </c>
      <c r="B87" s="328">
        <v>2</v>
      </c>
      <c r="C87" s="337" t="s">
        <v>79</v>
      </c>
      <c r="E87" s="30"/>
    </row>
    <row r="88" spans="1:6" ht="20.100000000000001" customHeight="1">
      <c r="A88" s="282">
        <v>17</v>
      </c>
      <c r="B88" s="328">
        <v>1</v>
      </c>
      <c r="C88" s="337" t="s">
        <v>80</v>
      </c>
      <c r="E88" s="30"/>
    </row>
    <row r="89" spans="1:6" ht="20.100000000000001" customHeight="1">
      <c r="A89" s="282">
        <v>18</v>
      </c>
      <c r="B89" s="328">
        <v>1</v>
      </c>
      <c r="C89" s="337" t="s">
        <v>81</v>
      </c>
      <c r="E89" s="30"/>
    </row>
    <row r="90" spans="1:6" ht="20.100000000000001" customHeight="1">
      <c r="A90" s="282">
        <v>19</v>
      </c>
      <c r="B90" s="328">
        <v>1</v>
      </c>
      <c r="C90" s="337" t="s">
        <v>82</v>
      </c>
      <c r="E90" s="30"/>
    </row>
    <row r="91" spans="1:6" ht="20.100000000000001" customHeight="1">
      <c r="A91" s="282">
        <v>20</v>
      </c>
      <c r="B91" s="328">
        <v>1</v>
      </c>
      <c r="C91" s="337" t="s">
        <v>83</v>
      </c>
      <c r="E91" s="30"/>
    </row>
    <row r="92" spans="1:6" ht="20.100000000000001" customHeight="1">
      <c r="A92" s="282">
        <v>21</v>
      </c>
      <c r="B92" s="328">
        <v>1</v>
      </c>
      <c r="C92" s="337" t="s">
        <v>84</v>
      </c>
      <c r="E92" s="30"/>
    </row>
    <row r="93" spans="1:6" ht="20.100000000000001" customHeight="1">
      <c r="A93" s="282">
        <v>22</v>
      </c>
      <c r="B93" s="328">
        <v>1</v>
      </c>
      <c r="C93" s="337" t="s">
        <v>85</v>
      </c>
      <c r="E93" s="30"/>
    </row>
    <row r="94" spans="1:6" ht="20.100000000000001" customHeight="1">
      <c r="A94" s="282">
        <v>23</v>
      </c>
      <c r="B94" s="328">
        <v>1</v>
      </c>
      <c r="C94" s="337" t="s">
        <v>86</v>
      </c>
      <c r="E94" s="30"/>
    </row>
    <row r="95" spans="1:6" ht="20.100000000000001" customHeight="1">
      <c r="A95" s="282">
        <v>24</v>
      </c>
      <c r="B95" s="328">
        <v>1</v>
      </c>
      <c r="C95" s="337" t="s">
        <v>87</v>
      </c>
      <c r="E95" s="30"/>
    </row>
    <row r="96" spans="1:6" ht="20.100000000000001" customHeight="1">
      <c r="A96" s="282">
        <v>25</v>
      </c>
      <c r="B96" s="328">
        <v>2</v>
      </c>
      <c r="C96" s="337" t="s">
        <v>88</v>
      </c>
      <c r="E96" s="30"/>
    </row>
    <row r="97" spans="1:5" ht="20.100000000000001" customHeight="1">
      <c r="A97" s="282">
        <v>26</v>
      </c>
      <c r="B97" s="328">
        <v>2</v>
      </c>
      <c r="C97" s="337" t="s">
        <v>89</v>
      </c>
      <c r="E97" s="30"/>
    </row>
    <row r="98" spans="1:5" ht="20.100000000000001" customHeight="1">
      <c r="A98" s="282">
        <v>27</v>
      </c>
      <c r="B98" s="328">
        <v>2</v>
      </c>
      <c r="C98" s="338" t="s">
        <v>263</v>
      </c>
      <c r="E98" s="30"/>
    </row>
    <row r="99" spans="1:5" ht="20.100000000000001" customHeight="1">
      <c r="A99" s="282">
        <v>28</v>
      </c>
      <c r="B99" s="328">
        <v>2</v>
      </c>
      <c r="C99" s="337" t="s">
        <v>91</v>
      </c>
      <c r="E99" s="30"/>
    </row>
    <row r="100" spans="1:5" ht="20.100000000000001" customHeight="1">
      <c r="A100" s="282">
        <v>29</v>
      </c>
      <c r="B100" s="13">
        <v>4</v>
      </c>
      <c r="C100" s="338" t="s">
        <v>92</v>
      </c>
      <c r="E100" s="30"/>
    </row>
    <row r="101" spans="1:5" ht="20.100000000000001" customHeight="1">
      <c r="A101" s="282">
        <v>30</v>
      </c>
      <c r="B101" s="328">
        <v>2</v>
      </c>
      <c r="C101" s="337" t="s">
        <v>93</v>
      </c>
      <c r="E101" s="30"/>
    </row>
    <row r="102" spans="1:5" ht="20.100000000000001" customHeight="1">
      <c r="A102" s="282">
        <v>31</v>
      </c>
      <c r="B102" s="328">
        <v>4</v>
      </c>
      <c r="C102" s="337" t="s">
        <v>94</v>
      </c>
      <c r="E102" s="30"/>
    </row>
    <row r="103" spans="1:5" ht="20.100000000000001" customHeight="1">
      <c r="A103" s="282">
        <v>32</v>
      </c>
      <c r="B103" s="328">
        <v>1</v>
      </c>
      <c r="C103" s="337" t="s">
        <v>95</v>
      </c>
      <c r="E103" s="30"/>
    </row>
    <row r="104" spans="1:5" ht="20.100000000000001" customHeight="1">
      <c r="A104" s="282">
        <v>33</v>
      </c>
      <c r="B104" s="260">
        <v>2</v>
      </c>
      <c r="C104" s="338" t="s">
        <v>266</v>
      </c>
      <c r="E104" s="30"/>
    </row>
    <row r="105" spans="1:5" ht="20.100000000000001" customHeight="1">
      <c r="A105" s="17">
        <v>33</v>
      </c>
      <c r="B105" s="19">
        <f>SUM(B72:B104)</f>
        <v>54</v>
      </c>
      <c r="C105" s="18" t="s">
        <v>4</v>
      </c>
      <c r="E105" s="30"/>
    </row>
    <row r="106" spans="1:5" ht="20.100000000000001" customHeight="1">
      <c r="A106" s="20">
        <f>A70+A44+A33+A12+A105+A65+A50+A7</f>
        <v>85</v>
      </c>
      <c r="B106" s="20">
        <f>B70+B44+B33+B12+B105+B65+B50+B7</f>
        <v>145</v>
      </c>
      <c r="C106" s="18" t="s">
        <v>16</v>
      </c>
      <c r="E106" s="30"/>
    </row>
    <row r="107" spans="1:5">
      <c r="B107" s="25"/>
      <c r="C107" s="25"/>
    </row>
    <row r="108" spans="1:5">
      <c r="B108" s="25"/>
      <c r="C108" s="25"/>
    </row>
    <row r="109" spans="1:5">
      <c r="B109" s="25"/>
      <c r="C109" s="25"/>
    </row>
    <row r="110" spans="1:5">
      <c r="B110" s="25"/>
      <c r="C110" s="25"/>
    </row>
    <row r="111" spans="1:5">
      <c r="B111" s="25"/>
      <c r="C111" s="25"/>
    </row>
    <row r="112" spans="1:5">
      <c r="B112" s="25"/>
      <c r="C112" s="25"/>
    </row>
    <row r="113" spans="2:3">
      <c r="B113" s="25"/>
      <c r="C113" s="25"/>
    </row>
    <row r="114" spans="2:3">
      <c r="B114" s="25"/>
      <c r="C114" s="25"/>
    </row>
    <row r="115" spans="2:3">
      <c r="B115" s="25"/>
      <c r="C115" s="25"/>
    </row>
    <row r="116" spans="2:3">
      <c r="B116" s="25"/>
      <c r="C116" s="25"/>
    </row>
    <row r="117" spans="2:3">
      <c r="B117" s="25"/>
      <c r="C117" s="25"/>
    </row>
    <row r="118" spans="2:3">
      <c r="B118" s="25"/>
      <c r="C118" s="25"/>
    </row>
    <row r="119" spans="2:3">
      <c r="B119" s="25"/>
      <c r="C119" s="25"/>
    </row>
    <row r="120" spans="2:3">
      <c r="B120" s="25"/>
      <c r="C120" s="25"/>
    </row>
    <row r="121" spans="2:3">
      <c r="B121" s="25"/>
      <c r="C121" s="25"/>
    </row>
    <row r="122" spans="2:3">
      <c r="B122" s="25"/>
      <c r="C122" s="25"/>
    </row>
    <row r="123" spans="2:3">
      <c r="B123" s="25"/>
      <c r="C123" s="25"/>
    </row>
    <row r="124" spans="2:3">
      <c r="B124" s="25"/>
      <c r="C124" s="25"/>
    </row>
    <row r="125" spans="2:3">
      <c r="B125" s="25"/>
      <c r="C125" s="25"/>
    </row>
  </sheetData>
  <mergeCells count="8">
    <mergeCell ref="A5:C5"/>
    <mergeCell ref="A45:C45"/>
    <mergeCell ref="A51:C51"/>
    <mergeCell ref="A71:C71"/>
    <mergeCell ref="A8:C8"/>
    <mergeCell ref="A13:C13"/>
    <mergeCell ref="A66:C66"/>
    <mergeCell ref="A34:C34"/>
  </mergeCells>
  <pageMargins left="1.1811023622047245" right="0.70866141732283472" top="0.74803149606299213" bottom="0.74803149606299213" header="0.31496062992125984" footer="0.31496062992125984"/>
  <pageSetup paperSize="9" scale="5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4"/>
  <sheetViews>
    <sheetView view="pageBreakPreview" zoomScale="69" zoomScaleNormal="90" zoomScaleSheetLayoutView="69" workbookViewId="0">
      <pane ySplit="7" topLeftCell="A89" activePane="bottomLeft" state="frozen"/>
      <selection pane="bottomLeft" activeCell="C70" sqref="C70"/>
    </sheetView>
  </sheetViews>
  <sheetFormatPr defaultColWidth="9.140625" defaultRowHeight="18.75"/>
  <cols>
    <col min="1" max="1" width="12.42578125" style="25" customWidth="1"/>
    <col min="2" max="2" width="9.85546875" style="28" customWidth="1"/>
    <col min="3" max="3" width="37.28515625" style="25" customWidth="1"/>
    <col min="4" max="4" width="17" style="25" customWidth="1"/>
    <col min="5" max="5" width="7.85546875" style="25" customWidth="1"/>
    <col min="6" max="6" width="18.85546875" style="67" customWidth="1"/>
    <col min="7" max="7" width="16.85546875" style="67" hidden="1" customWidth="1"/>
    <col min="8" max="10" width="16.5703125" style="67" hidden="1" customWidth="1"/>
    <col min="11" max="11" width="18.85546875" style="67" customWidth="1"/>
    <col min="12" max="12" width="21.28515625" style="67" customWidth="1"/>
    <col min="13" max="13" width="23.7109375" style="25" customWidth="1"/>
    <col min="14" max="14" width="19.85546875" style="25" customWidth="1"/>
    <col min="15" max="15" width="14.85546875" style="29" hidden="1" customWidth="1"/>
    <col min="16" max="16" width="18.5703125" style="29" hidden="1" customWidth="1"/>
    <col min="17" max="17" width="16.7109375" style="25" customWidth="1"/>
    <col min="18" max="18" width="22.7109375" style="70" customWidth="1"/>
    <col min="19" max="20" width="22" style="71" hidden="1" customWidth="1"/>
    <col min="21" max="21" width="22.28515625" style="71" hidden="1" customWidth="1"/>
    <col min="22" max="22" width="22.5703125" style="25" hidden="1" customWidth="1"/>
    <col min="23" max="23" width="18" style="25" hidden="1" customWidth="1"/>
    <col min="24" max="24" width="18.140625" style="25" hidden="1" customWidth="1"/>
    <col min="25" max="26" width="17.7109375" style="27" hidden="1" customWidth="1"/>
    <col min="27" max="16384" width="9.140625" style="25"/>
  </cols>
  <sheetData>
    <row r="1" spans="1:27">
      <c r="A1" s="198"/>
      <c r="B1" s="193" t="s">
        <v>216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4"/>
      <c r="P1" s="194"/>
      <c r="Q1" s="192"/>
      <c r="R1" s="195"/>
      <c r="S1" s="196"/>
      <c r="T1" s="196"/>
      <c r="U1" s="196"/>
      <c r="V1" s="192"/>
      <c r="W1" s="192"/>
      <c r="X1" s="192"/>
      <c r="Y1" s="197"/>
      <c r="Z1" s="197"/>
    </row>
    <row r="2" spans="1:27">
      <c r="A2" s="199"/>
      <c r="B2" s="193" t="s">
        <v>217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4"/>
      <c r="P2" s="194"/>
      <c r="Q2" s="192"/>
      <c r="R2" s="195"/>
      <c r="S2" s="196"/>
      <c r="T2" s="196"/>
      <c r="U2" s="196"/>
      <c r="V2" s="192"/>
      <c r="W2" s="192"/>
      <c r="X2" s="192"/>
      <c r="Y2" s="197"/>
      <c r="Z2" s="197"/>
    </row>
    <row r="3" spans="1:27">
      <c r="A3" s="215"/>
      <c r="B3" s="408" t="s">
        <v>223</v>
      </c>
      <c r="C3" s="408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4"/>
      <c r="P3" s="194"/>
      <c r="Q3" s="192"/>
      <c r="R3" s="195"/>
      <c r="S3" s="196"/>
      <c r="T3" s="196"/>
      <c r="U3" s="196"/>
      <c r="V3" s="192"/>
      <c r="W3" s="192"/>
      <c r="X3" s="192"/>
      <c r="Y3" s="197"/>
      <c r="Z3" s="197"/>
    </row>
    <row r="4" spans="1:27" ht="21" customHeight="1">
      <c r="A4" s="216"/>
      <c r="B4" s="409" t="s">
        <v>220</v>
      </c>
      <c r="C4" s="409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4"/>
      <c r="P4" s="194"/>
      <c r="Q4" s="192"/>
      <c r="R4" s="195"/>
      <c r="S4" s="196"/>
      <c r="T4" s="196"/>
      <c r="U4" s="196"/>
      <c r="V4" s="192"/>
      <c r="W4" s="192"/>
      <c r="X4" s="192"/>
      <c r="Y4" s="197"/>
      <c r="Z4" s="197"/>
    </row>
    <row r="5" spans="1:27" ht="18.75" customHeight="1">
      <c r="A5" s="405" t="s">
        <v>0</v>
      </c>
      <c r="B5" s="405" t="s">
        <v>17</v>
      </c>
      <c r="C5" s="405" t="s">
        <v>1</v>
      </c>
      <c r="D5" s="405" t="s">
        <v>42</v>
      </c>
      <c r="E5" s="412" t="s">
        <v>38</v>
      </c>
      <c r="F5" s="413"/>
      <c r="G5" s="416" t="s">
        <v>20</v>
      </c>
      <c r="H5" s="417"/>
      <c r="I5" s="416" t="s">
        <v>28</v>
      </c>
      <c r="J5" s="417"/>
      <c r="K5" s="416" t="s">
        <v>41</v>
      </c>
      <c r="L5" s="417"/>
      <c r="M5" s="405" t="s">
        <v>43</v>
      </c>
      <c r="N5" s="402" t="s">
        <v>44</v>
      </c>
      <c r="O5" s="402" t="s">
        <v>45</v>
      </c>
      <c r="P5" s="402" t="s">
        <v>46</v>
      </c>
      <c r="Q5" s="405" t="s">
        <v>47</v>
      </c>
      <c r="R5" s="427" t="s">
        <v>40</v>
      </c>
      <c r="S5" s="428"/>
      <c r="T5" s="428"/>
      <c r="U5" s="429"/>
      <c r="V5" s="402" t="s">
        <v>12</v>
      </c>
      <c r="W5" s="392" t="s">
        <v>31</v>
      </c>
      <c r="X5" s="392" t="s">
        <v>32</v>
      </c>
      <c r="Y5" s="392" t="s">
        <v>33</v>
      </c>
      <c r="Z5" s="392" t="s">
        <v>32</v>
      </c>
    </row>
    <row r="6" spans="1:27" ht="62.25" customHeight="1">
      <c r="A6" s="406"/>
      <c r="B6" s="406"/>
      <c r="C6" s="406"/>
      <c r="D6" s="406"/>
      <c r="E6" s="414"/>
      <c r="F6" s="415"/>
      <c r="G6" s="418"/>
      <c r="H6" s="419"/>
      <c r="I6" s="418"/>
      <c r="J6" s="419"/>
      <c r="K6" s="418"/>
      <c r="L6" s="419"/>
      <c r="M6" s="406"/>
      <c r="N6" s="403"/>
      <c r="O6" s="403"/>
      <c r="P6" s="403"/>
      <c r="Q6" s="406"/>
      <c r="R6" s="397" t="s">
        <v>21</v>
      </c>
      <c r="S6" s="399" t="s">
        <v>37</v>
      </c>
      <c r="T6" s="400"/>
      <c r="U6" s="401"/>
      <c r="V6" s="403"/>
      <c r="W6" s="392"/>
      <c r="X6" s="392"/>
      <c r="Y6" s="392"/>
      <c r="Z6" s="392"/>
    </row>
    <row r="7" spans="1:27" ht="57" customHeight="1">
      <c r="A7" s="407"/>
      <c r="B7" s="407"/>
      <c r="C7" s="407"/>
      <c r="D7" s="407"/>
      <c r="E7" s="4" t="s">
        <v>8</v>
      </c>
      <c r="F7" s="33" t="s">
        <v>2</v>
      </c>
      <c r="G7" s="33" t="s">
        <v>8</v>
      </c>
      <c r="H7" s="33" t="s">
        <v>2</v>
      </c>
      <c r="I7" s="33" t="s">
        <v>8</v>
      </c>
      <c r="J7" s="33" t="s">
        <v>2</v>
      </c>
      <c r="K7" s="33" t="s">
        <v>9</v>
      </c>
      <c r="L7" s="33" t="s">
        <v>2</v>
      </c>
      <c r="M7" s="407"/>
      <c r="N7" s="404"/>
      <c r="O7" s="404"/>
      <c r="P7" s="404"/>
      <c r="Q7" s="407"/>
      <c r="R7" s="398"/>
      <c r="S7" s="59" t="s">
        <v>35</v>
      </c>
      <c r="T7" s="59" t="s">
        <v>34</v>
      </c>
      <c r="U7" s="59" t="s">
        <v>10</v>
      </c>
      <c r="V7" s="404"/>
      <c r="W7" s="392"/>
      <c r="X7" s="392"/>
      <c r="Y7" s="392"/>
      <c r="Z7" s="392"/>
    </row>
    <row r="8" spans="1:27">
      <c r="A8" s="410" t="s">
        <v>13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4"/>
      <c r="X8" s="44"/>
      <c r="Y8" s="41"/>
      <c r="Z8" s="41"/>
    </row>
    <row r="9" spans="1:27">
      <c r="A9" s="200">
        <v>1</v>
      </c>
      <c r="B9" s="13">
        <v>1</v>
      </c>
      <c r="C9" s="91" t="s">
        <v>19</v>
      </c>
      <c r="D9" s="36">
        <v>1537</v>
      </c>
      <c r="E9" s="42">
        <v>5</v>
      </c>
      <c r="F9" s="77">
        <v>256.62</v>
      </c>
      <c r="G9" s="42">
        <v>2</v>
      </c>
      <c r="H9" s="15">
        <f t="shared" ref="H9" si="0">52753*G9</f>
        <v>105506</v>
      </c>
      <c r="I9" s="42"/>
      <c r="J9" s="92"/>
      <c r="K9" s="42">
        <v>1537</v>
      </c>
      <c r="L9" s="93">
        <v>1567873</v>
      </c>
      <c r="M9" s="61"/>
      <c r="N9" s="76"/>
      <c r="O9" s="14"/>
      <c r="P9" s="14"/>
      <c r="Q9" s="61"/>
      <c r="R9" s="85"/>
      <c r="S9" s="85"/>
      <c r="T9" s="85"/>
      <c r="U9" s="85"/>
      <c r="V9" s="94"/>
      <c r="W9" s="42"/>
      <c r="X9" s="22"/>
      <c r="Y9" s="43"/>
      <c r="Z9" s="43"/>
    </row>
    <row r="10" spans="1:27">
      <c r="A10" s="200">
        <v>2</v>
      </c>
      <c r="B10" s="201">
        <v>1</v>
      </c>
      <c r="C10" s="202" t="s">
        <v>226</v>
      </c>
      <c r="D10" s="203"/>
      <c r="E10" s="203"/>
      <c r="F10" s="204"/>
      <c r="G10" s="203"/>
      <c r="H10" s="205"/>
      <c r="I10" s="203"/>
      <c r="J10" s="206"/>
      <c r="K10" s="203"/>
      <c r="L10" s="207"/>
      <c r="M10" s="208"/>
      <c r="N10" s="210"/>
      <c r="O10" s="211"/>
      <c r="P10" s="211"/>
      <c r="Q10" s="208"/>
      <c r="R10" s="75"/>
      <c r="S10" s="75"/>
      <c r="T10" s="75"/>
      <c r="U10" s="75"/>
      <c r="V10" s="212"/>
      <c r="W10" s="203"/>
      <c r="X10" s="213"/>
      <c r="Y10" s="214"/>
      <c r="Z10" s="214"/>
    </row>
    <row r="11" spans="1:27">
      <c r="A11" s="200">
        <v>3</v>
      </c>
      <c r="B11" s="201">
        <v>1</v>
      </c>
      <c r="C11" s="202" t="s">
        <v>218</v>
      </c>
      <c r="D11" s="203">
        <v>884</v>
      </c>
      <c r="E11" s="203">
        <v>0</v>
      </c>
      <c r="F11" s="204">
        <v>0</v>
      </c>
      <c r="G11" s="203"/>
      <c r="H11" s="205"/>
      <c r="I11" s="203"/>
      <c r="J11" s="206"/>
      <c r="K11" s="203">
        <v>884</v>
      </c>
      <c r="L11" s="207">
        <v>901680</v>
      </c>
      <c r="M11" s="208"/>
      <c r="N11" s="210"/>
      <c r="O11" s="211"/>
      <c r="P11" s="211"/>
      <c r="Q11" s="208"/>
      <c r="R11" s="75"/>
      <c r="S11" s="75"/>
      <c r="T11" s="75"/>
      <c r="U11" s="75"/>
      <c r="V11" s="212"/>
      <c r="W11" s="203"/>
      <c r="X11" s="213"/>
      <c r="Y11" s="214"/>
      <c r="Z11" s="214"/>
      <c r="AA11" s="215" t="s">
        <v>219</v>
      </c>
    </row>
    <row r="12" spans="1:27">
      <c r="A12" s="17"/>
      <c r="B12" s="19">
        <f>SUM(B9:B11)</f>
        <v>3</v>
      </c>
      <c r="C12" s="18" t="s">
        <v>4</v>
      </c>
      <c r="D12" s="20">
        <f>SUM(D9:D11)</f>
        <v>2421</v>
      </c>
      <c r="E12" s="20">
        <f t="shared" ref="E12:L12" si="1">SUM(E9:E11)</f>
        <v>5</v>
      </c>
      <c r="F12" s="20">
        <f t="shared" si="1"/>
        <v>256.62</v>
      </c>
      <c r="G12" s="20">
        <f t="shared" si="1"/>
        <v>2</v>
      </c>
      <c r="H12" s="20">
        <f t="shared" si="1"/>
        <v>105506</v>
      </c>
      <c r="I12" s="20">
        <f t="shared" si="1"/>
        <v>0</v>
      </c>
      <c r="J12" s="20">
        <f t="shared" si="1"/>
        <v>0</v>
      </c>
      <c r="K12" s="20">
        <f t="shared" si="1"/>
        <v>2421</v>
      </c>
      <c r="L12" s="20">
        <f t="shared" si="1"/>
        <v>2469553</v>
      </c>
      <c r="M12" s="20"/>
      <c r="N12" s="21"/>
      <c r="O12" s="20"/>
      <c r="P12" s="20"/>
      <c r="Q12" s="20"/>
      <c r="R12" s="21"/>
      <c r="S12" s="95"/>
      <c r="T12" s="95"/>
      <c r="U12" s="95"/>
      <c r="V12" s="21"/>
      <c r="W12" s="21"/>
      <c r="X12" s="21"/>
      <c r="Y12" s="21"/>
      <c r="Z12" s="21"/>
    </row>
    <row r="13" spans="1:27">
      <c r="A13" s="410" t="s">
        <v>3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39"/>
      <c r="X13" s="39"/>
      <c r="Y13" s="41"/>
      <c r="Z13" s="41"/>
    </row>
    <row r="14" spans="1:27">
      <c r="A14" s="200">
        <v>1</v>
      </c>
      <c r="B14" s="107">
        <v>1</v>
      </c>
      <c r="C14" s="98" t="s">
        <v>48</v>
      </c>
      <c r="D14" s="36">
        <f>K14</f>
        <v>1450</v>
      </c>
      <c r="E14" s="109">
        <v>0</v>
      </c>
      <c r="F14" s="103">
        <f>E14*51.324</f>
        <v>0</v>
      </c>
      <c r="G14" s="37"/>
      <c r="H14" s="37"/>
      <c r="I14" s="37"/>
      <c r="J14" s="37"/>
      <c r="K14" s="104">
        <v>1450</v>
      </c>
      <c r="L14" s="105">
        <f>K14*1111</f>
        <v>1610950</v>
      </c>
      <c r="M14" s="61"/>
      <c r="N14" s="61"/>
      <c r="O14" s="14"/>
      <c r="P14" s="14"/>
      <c r="Q14" s="61"/>
      <c r="R14" s="85"/>
      <c r="S14" s="85"/>
      <c r="T14" s="85"/>
      <c r="U14" s="85"/>
      <c r="V14" s="2"/>
      <c r="W14" s="15"/>
      <c r="X14" s="24"/>
      <c r="Y14" s="43"/>
      <c r="Z14" s="43"/>
    </row>
    <row r="15" spans="1:27">
      <c r="A15" s="200">
        <v>2</v>
      </c>
      <c r="B15" s="107">
        <v>1</v>
      </c>
      <c r="C15" s="98" t="s">
        <v>49</v>
      </c>
      <c r="D15" s="36">
        <f>K15</f>
        <v>1390</v>
      </c>
      <c r="E15" s="109">
        <v>0</v>
      </c>
      <c r="F15" s="103">
        <f>E15*51.324</f>
        <v>0</v>
      </c>
      <c r="G15" s="37">
        <v>3</v>
      </c>
      <c r="H15" s="37">
        <f t="shared" ref="H15:H16" si="2">52753*G15</f>
        <v>158259</v>
      </c>
      <c r="I15" s="37"/>
      <c r="J15" s="37"/>
      <c r="K15" s="104">
        <v>1390</v>
      </c>
      <c r="L15" s="105">
        <f t="shared" ref="L15:L17" si="3">K15*1111</f>
        <v>1544290</v>
      </c>
      <c r="M15" s="61"/>
      <c r="N15" s="61"/>
      <c r="O15" s="14"/>
      <c r="P15" s="14"/>
      <c r="Q15" s="61"/>
      <c r="R15" s="85"/>
      <c r="S15" s="85"/>
      <c r="T15" s="85"/>
      <c r="U15" s="85"/>
      <c r="V15" s="2"/>
      <c r="W15" s="15"/>
      <c r="X15" s="24"/>
      <c r="Y15" s="43"/>
      <c r="Z15" s="43"/>
    </row>
    <row r="16" spans="1:27">
      <c r="A16" s="200">
        <v>3</v>
      </c>
      <c r="B16" s="107">
        <v>1</v>
      </c>
      <c r="C16" s="98" t="s">
        <v>50</v>
      </c>
      <c r="D16" s="36">
        <f>K16</f>
        <v>2140</v>
      </c>
      <c r="E16" s="109">
        <v>1</v>
      </c>
      <c r="F16" s="103">
        <v>51324</v>
      </c>
      <c r="G16" s="37">
        <v>3</v>
      </c>
      <c r="H16" s="37">
        <f t="shared" si="2"/>
        <v>158259</v>
      </c>
      <c r="I16" s="37"/>
      <c r="J16" s="37"/>
      <c r="K16" s="104">
        <v>2140</v>
      </c>
      <c r="L16" s="105">
        <f t="shared" si="3"/>
        <v>2377540</v>
      </c>
      <c r="M16" s="61"/>
      <c r="N16" s="61"/>
      <c r="O16" s="14"/>
      <c r="P16" s="14"/>
      <c r="Q16" s="61"/>
      <c r="R16" s="85"/>
      <c r="S16" s="85"/>
      <c r="T16" s="85"/>
      <c r="U16" s="85"/>
      <c r="V16" s="2"/>
      <c r="W16" s="15"/>
      <c r="X16" s="24"/>
      <c r="Y16" s="43"/>
      <c r="Z16" s="43"/>
    </row>
    <row r="17" spans="1:26" ht="18.75" customHeight="1">
      <c r="A17" s="217">
        <v>4</v>
      </c>
      <c r="B17" s="107">
        <v>1</v>
      </c>
      <c r="C17" s="98" t="s">
        <v>18</v>
      </c>
      <c r="D17" s="36">
        <f>K17</f>
        <v>0</v>
      </c>
      <c r="E17" s="15"/>
      <c r="F17" s="77"/>
      <c r="G17" s="37"/>
      <c r="H17" s="37"/>
      <c r="I17" s="37"/>
      <c r="J17" s="37"/>
      <c r="K17" s="15">
        <v>0</v>
      </c>
      <c r="L17" s="105">
        <f t="shared" si="3"/>
        <v>0</v>
      </c>
      <c r="M17" s="61"/>
      <c r="N17" s="61"/>
      <c r="O17" s="14"/>
      <c r="P17" s="14"/>
      <c r="Q17" s="61"/>
      <c r="R17" s="85"/>
      <c r="S17" s="85"/>
      <c r="T17" s="85"/>
      <c r="U17" s="85"/>
      <c r="V17" s="5"/>
      <c r="W17" s="15"/>
      <c r="X17" s="24"/>
      <c r="Y17" s="43"/>
      <c r="Z17" s="43"/>
    </row>
    <row r="18" spans="1:26">
      <c r="A18" s="17"/>
      <c r="B18" s="19">
        <f>SUM(B14:B17)</f>
        <v>4</v>
      </c>
      <c r="C18" s="18" t="s">
        <v>4</v>
      </c>
      <c r="D18" s="20">
        <f t="shared" ref="D18:L18" si="4">SUM(D14:D17)</f>
        <v>4980</v>
      </c>
      <c r="E18" s="20">
        <f t="shared" si="4"/>
        <v>1</v>
      </c>
      <c r="F18" s="74">
        <f t="shared" si="4"/>
        <v>51324</v>
      </c>
      <c r="G18" s="1">
        <f t="shared" si="4"/>
        <v>6</v>
      </c>
      <c r="H18" s="1">
        <f t="shared" si="4"/>
        <v>316518</v>
      </c>
      <c r="I18" s="1">
        <f t="shared" si="4"/>
        <v>0</v>
      </c>
      <c r="J18" s="1">
        <f t="shared" si="4"/>
        <v>0</v>
      </c>
      <c r="K18" s="1">
        <f t="shared" si="4"/>
        <v>4980</v>
      </c>
      <c r="L18" s="74">
        <f t="shared" si="4"/>
        <v>5532780</v>
      </c>
      <c r="M18" s="20"/>
      <c r="N18" s="20"/>
      <c r="O18" s="20"/>
      <c r="P18" s="20"/>
      <c r="Q18" s="20"/>
      <c r="R18" s="21"/>
      <c r="S18" s="95"/>
      <c r="T18" s="95"/>
      <c r="U18" s="95"/>
      <c r="V18" s="21"/>
      <c r="W18" s="249"/>
      <c r="X18" s="249"/>
      <c r="Y18" s="249"/>
      <c r="Z18" s="249"/>
    </row>
    <row r="19" spans="1:26">
      <c r="A19" s="410" t="s">
        <v>6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5"/>
      <c r="X19" s="39"/>
      <c r="Y19" s="41"/>
      <c r="Z19" s="41"/>
    </row>
    <row r="20" spans="1:26">
      <c r="A20" s="218">
        <v>1</v>
      </c>
      <c r="B20" s="107">
        <v>1</v>
      </c>
      <c r="C20" s="98" t="s">
        <v>51</v>
      </c>
      <c r="D20" s="36">
        <f>K20</f>
        <v>2926.5</v>
      </c>
      <c r="E20" s="112">
        <v>4</v>
      </c>
      <c r="F20" s="99">
        <f>E20*51324</f>
        <v>205296</v>
      </c>
      <c r="G20" s="37">
        <v>1</v>
      </c>
      <c r="H20" s="37">
        <f t="shared" ref="H20:H32" si="5">52753*G20</f>
        <v>52753</v>
      </c>
      <c r="I20" s="37"/>
      <c r="J20" s="37"/>
      <c r="K20" s="110">
        <v>2926.5</v>
      </c>
      <c r="L20" s="101">
        <f>K20*1.05</f>
        <v>3072.8250000000003</v>
      </c>
      <c r="M20" s="61"/>
      <c r="N20" s="61"/>
      <c r="O20" s="14"/>
      <c r="P20" s="14"/>
      <c r="Q20" s="61"/>
      <c r="R20" s="85"/>
      <c r="S20" s="88"/>
      <c r="T20" s="88"/>
      <c r="U20" s="88"/>
      <c r="V20" s="2"/>
      <c r="W20" s="15"/>
      <c r="X20" s="24"/>
      <c r="Y20" s="41"/>
      <c r="Z20" s="43"/>
    </row>
    <row r="21" spans="1:26">
      <c r="A21" s="218">
        <v>2</v>
      </c>
      <c r="B21" s="107">
        <v>1</v>
      </c>
      <c r="C21" s="98" t="s">
        <v>52</v>
      </c>
      <c r="D21" s="36">
        <f t="shared" ref="D21:D32" si="6">K21</f>
        <v>2539</v>
      </c>
      <c r="E21" s="112">
        <v>5</v>
      </c>
      <c r="F21" s="99">
        <f t="shared" ref="F21:F32" si="7">E21*51324</f>
        <v>256620</v>
      </c>
      <c r="G21" s="37"/>
      <c r="H21" s="37"/>
      <c r="I21" s="37"/>
      <c r="J21" s="37"/>
      <c r="K21" s="100">
        <v>2539</v>
      </c>
      <c r="L21" s="101">
        <f t="shared" ref="L21:L28" si="8">K21*1.05</f>
        <v>2665.9500000000003</v>
      </c>
      <c r="M21" s="61"/>
      <c r="N21" s="61"/>
      <c r="O21" s="14"/>
      <c r="P21" s="14"/>
      <c r="Q21" s="61"/>
      <c r="R21" s="85"/>
      <c r="S21" s="88"/>
      <c r="T21" s="88"/>
      <c r="U21" s="88"/>
      <c r="V21" s="2"/>
      <c r="W21" s="15"/>
      <c r="X21" s="24"/>
      <c r="Y21" s="41"/>
      <c r="Z21" s="43"/>
    </row>
    <row r="22" spans="1:26">
      <c r="A22" s="218">
        <v>3</v>
      </c>
      <c r="B22" s="107">
        <v>1</v>
      </c>
      <c r="C22" s="98" t="s">
        <v>53</v>
      </c>
      <c r="D22" s="36">
        <f t="shared" si="6"/>
        <v>3496</v>
      </c>
      <c r="E22" s="112">
        <v>2</v>
      </c>
      <c r="F22" s="99">
        <f t="shared" si="7"/>
        <v>102648</v>
      </c>
      <c r="G22" s="37"/>
      <c r="H22" s="37"/>
      <c r="I22" s="37"/>
      <c r="J22" s="37"/>
      <c r="K22" s="100">
        <v>3496</v>
      </c>
      <c r="L22" s="101">
        <f t="shared" si="8"/>
        <v>3670.8</v>
      </c>
      <c r="M22" s="61"/>
      <c r="N22" s="61"/>
      <c r="O22" s="14"/>
      <c r="P22" s="14"/>
      <c r="Q22" s="61"/>
      <c r="R22" s="85"/>
      <c r="S22" s="88"/>
      <c r="T22" s="88"/>
      <c r="U22" s="88"/>
      <c r="V22" s="2"/>
      <c r="W22" s="15"/>
      <c r="X22" s="24"/>
      <c r="Y22" s="41"/>
      <c r="Z22" s="43"/>
    </row>
    <row r="23" spans="1:26" ht="37.5">
      <c r="A23" s="218">
        <v>4</v>
      </c>
      <c r="B23" s="108">
        <v>3</v>
      </c>
      <c r="C23" s="98" t="s">
        <v>54</v>
      </c>
      <c r="D23" s="36">
        <f t="shared" si="6"/>
        <v>3978.6</v>
      </c>
      <c r="E23" s="113">
        <v>9</v>
      </c>
      <c r="F23" s="99">
        <f t="shared" si="7"/>
        <v>461916</v>
      </c>
      <c r="G23" s="37"/>
      <c r="H23" s="37"/>
      <c r="I23" s="37"/>
      <c r="J23" s="37"/>
      <c r="K23" s="100">
        <v>3978.6</v>
      </c>
      <c r="L23" s="101">
        <f t="shared" si="8"/>
        <v>4177.53</v>
      </c>
      <c r="M23" s="61"/>
      <c r="N23" s="61"/>
      <c r="O23" s="14"/>
      <c r="P23" s="14"/>
      <c r="Q23" s="61"/>
      <c r="R23" s="85"/>
      <c r="S23" s="88"/>
      <c r="T23" s="88"/>
      <c r="U23" s="88"/>
      <c r="V23" s="2"/>
      <c r="W23" s="15"/>
      <c r="X23" s="24"/>
      <c r="Y23" s="41"/>
      <c r="Z23" s="43"/>
    </row>
    <row r="24" spans="1:26" ht="37.5">
      <c r="A24" s="218">
        <v>5</v>
      </c>
      <c r="B24" s="107">
        <v>1</v>
      </c>
      <c r="C24" s="98" t="s">
        <v>55</v>
      </c>
      <c r="D24" s="36">
        <f t="shared" si="6"/>
        <v>2285</v>
      </c>
      <c r="E24" s="113">
        <v>3</v>
      </c>
      <c r="F24" s="99">
        <f t="shared" si="7"/>
        <v>153972</v>
      </c>
      <c r="G24" s="37"/>
      <c r="H24" s="37"/>
      <c r="I24" s="37"/>
      <c r="J24" s="37"/>
      <c r="K24" s="100">
        <v>2285</v>
      </c>
      <c r="L24" s="101">
        <f t="shared" si="8"/>
        <v>2399.25</v>
      </c>
      <c r="M24" s="61"/>
      <c r="N24" s="61"/>
      <c r="O24" s="14"/>
      <c r="P24" s="14"/>
      <c r="Q24" s="61"/>
      <c r="R24" s="85"/>
      <c r="S24" s="88"/>
      <c r="T24" s="88"/>
      <c r="U24" s="88"/>
      <c r="V24" s="2"/>
      <c r="W24" s="15"/>
      <c r="X24" s="24"/>
      <c r="Y24" s="41"/>
      <c r="Z24" s="43"/>
    </row>
    <row r="25" spans="1:26">
      <c r="A25" s="218">
        <v>6</v>
      </c>
      <c r="B25" s="107">
        <v>1</v>
      </c>
      <c r="C25" s="98" t="s">
        <v>56</v>
      </c>
      <c r="D25" s="36">
        <f t="shared" si="6"/>
        <v>2943</v>
      </c>
      <c r="E25" s="113">
        <v>3</v>
      </c>
      <c r="F25" s="99">
        <f t="shared" si="7"/>
        <v>153972</v>
      </c>
      <c r="G25" s="37"/>
      <c r="H25" s="37"/>
      <c r="I25" s="37"/>
      <c r="J25" s="37"/>
      <c r="K25" s="100">
        <v>2943</v>
      </c>
      <c r="L25" s="101">
        <f t="shared" si="8"/>
        <v>3090.15</v>
      </c>
      <c r="M25" s="61"/>
      <c r="N25" s="61"/>
      <c r="O25" s="14"/>
      <c r="P25" s="14"/>
      <c r="Q25" s="61"/>
      <c r="R25" s="85"/>
      <c r="S25" s="88"/>
      <c r="T25" s="88"/>
      <c r="U25" s="88"/>
      <c r="V25" s="2"/>
      <c r="W25" s="15"/>
      <c r="X25" s="24"/>
      <c r="Y25" s="41"/>
      <c r="Z25" s="43"/>
    </row>
    <row r="26" spans="1:26">
      <c r="A26" s="218">
        <v>7</v>
      </c>
      <c r="B26" s="107">
        <v>1</v>
      </c>
      <c r="C26" s="98" t="s">
        <v>57</v>
      </c>
      <c r="D26" s="36">
        <f t="shared" si="6"/>
        <v>835</v>
      </c>
      <c r="E26" s="112">
        <v>2</v>
      </c>
      <c r="F26" s="99">
        <f t="shared" si="7"/>
        <v>102648</v>
      </c>
      <c r="G26" s="37"/>
      <c r="H26" s="37"/>
      <c r="I26" s="37"/>
      <c r="J26" s="37"/>
      <c r="K26" s="100">
        <v>835</v>
      </c>
      <c r="L26" s="101">
        <f t="shared" si="8"/>
        <v>876.75</v>
      </c>
      <c r="M26" s="61"/>
      <c r="N26" s="61"/>
      <c r="O26" s="14"/>
      <c r="P26" s="14"/>
      <c r="Q26" s="61"/>
      <c r="R26" s="85"/>
      <c r="S26" s="88"/>
      <c r="T26" s="88"/>
      <c r="U26" s="88"/>
      <c r="V26" s="2"/>
      <c r="W26" s="15"/>
      <c r="X26" s="24"/>
      <c r="Y26" s="41"/>
      <c r="Z26" s="43"/>
    </row>
    <row r="27" spans="1:26">
      <c r="A27" s="218">
        <v>8</v>
      </c>
      <c r="B27" s="107">
        <v>1</v>
      </c>
      <c r="C27" s="98" t="s">
        <v>58</v>
      </c>
      <c r="D27" s="36">
        <f t="shared" si="6"/>
        <v>2376.15</v>
      </c>
      <c r="E27" s="112">
        <v>2</v>
      </c>
      <c r="F27" s="99">
        <f t="shared" si="7"/>
        <v>102648</v>
      </c>
      <c r="G27" s="37"/>
      <c r="H27" s="37"/>
      <c r="I27" s="37"/>
      <c r="J27" s="37"/>
      <c r="K27" s="100">
        <v>2376.15</v>
      </c>
      <c r="L27" s="101">
        <f t="shared" si="8"/>
        <v>2494.9575</v>
      </c>
      <c r="M27" s="61"/>
      <c r="N27" s="61"/>
      <c r="O27" s="14"/>
      <c r="P27" s="14"/>
      <c r="Q27" s="61"/>
      <c r="R27" s="85"/>
      <c r="S27" s="88"/>
      <c r="T27" s="88"/>
      <c r="U27" s="88"/>
      <c r="V27" s="2"/>
      <c r="W27" s="15"/>
      <c r="X27" s="24"/>
      <c r="Y27" s="41"/>
      <c r="Z27" s="43"/>
    </row>
    <row r="28" spans="1:26">
      <c r="A28" s="218">
        <v>9</v>
      </c>
      <c r="B28" s="107">
        <v>1</v>
      </c>
      <c r="C28" s="98" t="s">
        <v>59</v>
      </c>
      <c r="D28" s="36">
        <f t="shared" si="6"/>
        <v>638.5</v>
      </c>
      <c r="E28" s="114">
        <v>2</v>
      </c>
      <c r="F28" s="99">
        <f t="shared" si="7"/>
        <v>102648</v>
      </c>
      <c r="G28" s="37"/>
      <c r="H28" s="37"/>
      <c r="I28" s="37"/>
      <c r="J28" s="37"/>
      <c r="K28" s="111">
        <v>638.5</v>
      </c>
      <c r="L28" s="101">
        <f t="shared" si="8"/>
        <v>670.42500000000007</v>
      </c>
      <c r="M28" s="61"/>
      <c r="N28" s="61"/>
      <c r="O28" s="14"/>
      <c r="P28" s="14"/>
      <c r="Q28" s="61"/>
      <c r="R28" s="85"/>
      <c r="S28" s="88"/>
      <c r="T28" s="88"/>
      <c r="U28" s="88"/>
      <c r="V28" s="2"/>
      <c r="W28" s="15"/>
      <c r="X28" s="24"/>
      <c r="Y28" s="41"/>
      <c r="Z28" s="43"/>
    </row>
    <row r="29" spans="1:26">
      <c r="A29" s="200">
        <v>10</v>
      </c>
      <c r="B29" s="107">
        <v>1</v>
      </c>
      <c r="C29" s="98" t="s">
        <v>60</v>
      </c>
      <c r="D29" s="36">
        <f t="shared" si="6"/>
        <v>914</v>
      </c>
      <c r="E29" s="112">
        <v>3</v>
      </c>
      <c r="F29" s="99">
        <f t="shared" si="7"/>
        <v>153972</v>
      </c>
      <c r="G29" s="37">
        <v>2</v>
      </c>
      <c r="H29" s="37">
        <f t="shared" si="5"/>
        <v>105506</v>
      </c>
      <c r="I29" s="37"/>
      <c r="J29" s="37"/>
      <c r="K29" s="100">
        <v>914</v>
      </c>
      <c r="L29" s="101">
        <f>K29*1.11</f>
        <v>1014.5400000000001</v>
      </c>
      <c r="M29" s="61"/>
      <c r="N29" s="61"/>
      <c r="O29" s="14"/>
      <c r="P29" s="14"/>
      <c r="Q29" s="61"/>
      <c r="R29" s="85"/>
      <c r="S29" s="88"/>
      <c r="T29" s="88"/>
      <c r="U29" s="88"/>
      <c r="V29" s="2"/>
      <c r="W29" s="15"/>
      <c r="X29" s="24"/>
      <c r="Y29" s="41"/>
      <c r="Z29" s="43"/>
    </row>
    <row r="30" spans="1:26">
      <c r="A30" s="200">
        <v>11</v>
      </c>
      <c r="B30" s="107">
        <v>1</v>
      </c>
      <c r="C30" s="98" t="s">
        <v>61</v>
      </c>
      <c r="D30" s="36">
        <f t="shared" si="6"/>
        <v>2224</v>
      </c>
      <c r="E30" s="112">
        <v>3</v>
      </c>
      <c r="F30" s="99">
        <f t="shared" si="7"/>
        <v>153972</v>
      </c>
      <c r="G30" s="37">
        <v>1</v>
      </c>
      <c r="H30" s="37">
        <f t="shared" si="5"/>
        <v>52753</v>
      </c>
      <c r="I30" s="37"/>
      <c r="J30" s="37"/>
      <c r="K30" s="100">
        <v>2224</v>
      </c>
      <c r="L30" s="101">
        <f>K30*1.11</f>
        <v>2468.6400000000003</v>
      </c>
      <c r="M30" s="61"/>
      <c r="N30" s="61"/>
      <c r="O30" s="14"/>
      <c r="P30" s="14"/>
      <c r="Q30" s="61"/>
      <c r="R30" s="85"/>
      <c r="S30" s="88"/>
      <c r="T30" s="88"/>
      <c r="U30" s="88"/>
      <c r="V30" s="2"/>
      <c r="W30" s="15"/>
      <c r="X30" s="24"/>
      <c r="Y30" s="41"/>
      <c r="Z30" s="43"/>
    </row>
    <row r="31" spans="1:26">
      <c r="A31" s="200">
        <v>12</v>
      </c>
      <c r="B31" s="107">
        <v>1</v>
      </c>
      <c r="C31" s="98" t="s">
        <v>62</v>
      </c>
      <c r="D31" s="36">
        <f t="shared" si="6"/>
        <v>1066</v>
      </c>
      <c r="E31" s="112">
        <v>2</v>
      </c>
      <c r="F31" s="99">
        <f t="shared" si="7"/>
        <v>102648</v>
      </c>
      <c r="G31" s="37">
        <v>1</v>
      </c>
      <c r="H31" s="37">
        <f t="shared" si="5"/>
        <v>52753</v>
      </c>
      <c r="I31" s="37"/>
      <c r="J31" s="37"/>
      <c r="K31" s="100">
        <v>1066</v>
      </c>
      <c r="L31" s="101">
        <f>K31*1.11</f>
        <v>1183.26</v>
      </c>
      <c r="M31" s="76"/>
      <c r="N31" s="76"/>
      <c r="O31" s="14"/>
      <c r="P31" s="14"/>
      <c r="Q31" s="61"/>
      <c r="R31" s="85"/>
      <c r="S31" s="88"/>
      <c r="T31" s="88"/>
      <c r="U31" s="88"/>
      <c r="V31" s="2"/>
      <c r="W31" s="15"/>
      <c r="X31" s="24"/>
      <c r="Y31" s="41"/>
      <c r="Z31" s="43"/>
    </row>
    <row r="32" spans="1:26" ht="37.5">
      <c r="A32" s="200">
        <v>13</v>
      </c>
      <c r="B32" s="107">
        <v>4</v>
      </c>
      <c r="C32" s="98" t="s">
        <v>63</v>
      </c>
      <c r="D32" s="36">
        <f t="shared" si="6"/>
        <v>3340</v>
      </c>
      <c r="E32" s="112">
        <v>5</v>
      </c>
      <c r="F32" s="99">
        <f t="shared" si="7"/>
        <v>256620</v>
      </c>
      <c r="G32" s="37">
        <v>3</v>
      </c>
      <c r="H32" s="37">
        <f t="shared" si="5"/>
        <v>158259</v>
      </c>
      <c r="I32" s="37"/>
      <c r="J32" s="37"/>
      <c r="K32" s="100">
        <v>3340</v>
      </c>
      <c r="L32" s="101">
        <f>K32*1.11</f>
        <v>3707.4000000000005</v>
      </c>
      <c r="M32" s="78"/>
      <c r="N32" s="78"/>
      <c r="O32" s="16"/>
      <c r="P32" s="16"/>
      <c r="Q32" s="62"/>
      <c r="R32" s="85"/>
      <c r="S32" s="88"/>
      <c r="T32" s="88"/>
      <c r="U32" s="88"/>
      <c r="V32" s="2"/>
      <c r="W32" s="15"/>
      <c r="X32" s="24"/>
      <c r="Y32" s="41"/>
      <c r="Z32" s="43"/>
    </row>
    <row r="33" spans="1:26">
      <c r="A33" s="17"/>
      <c r="B33" s="19">
        <f>SUM(B20:B32)</f>
        <v>18</v>
      </c>
      <c r="C33" s="18" t="s">
        <v>4</v>
      </c>
      <c r="D33" s="20">
        <f t="shared" ref="D33:L33" si="9">SUM(D20:D32)</f>
        <v>29561.75</v>
      </c>
      <c r="E33" s="20">
        <f t="shared" si="9"/>
        <v>45</v>
      </c>
      <c r="F33" s="74">
        <f t="shared" si="9"/>
        <v>2309580</v>
      </c>
      <c r="G33" s="1">
        <f t="shared" si="9"/>
        <v>8</v>
      </c>
      <c r="H33" s="1">
        <f t="shared" si="9"/>
        <v>422024</v>
      </c>
      <c r="I33" s="1">
        <f t="shared" si="9"/>
        <v>0</v>
      </c>
      <c r="J33" s="1">
        <f t="shared" si="9"/>
        <v>0</v>
      </c>
      <c r="K33" s="1">
        <f t="shared" si="9"/>
        <v>29561.75</v>
      </c>
      <c r="L33" s="97">
        <f t="shared" si="9"/>
        <v>31492.477500000001</v>
      </c>
      <c r="M33" s="21"/>
      <c r="N33" s="21"/>
      <c r="O33" s="20"/>
      <c r="P33" s="20"/>
      <c r="Q33" s="21"/>
      <c r="R33" s="230"/>
      <c r="S33" s="95"/>
      <c r="T33" s="95"/>
      <c r="U33" s="95"/>
      <c r="V33" s="94"/>
      <c r="W33" s="21"/>
      <c r="X33" s="21"/>
      <c r="Y33" s="21"/>
      <c r="Z33" s="21"/>
    </row>
    <row r="34" spans="1:26">
      <c r="A34" s="410" t="s">
        <v>7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39"/>
      <c r="X34" s="39"/>
      <c r="Y34" s="41"/>
      <c r="Z34" s="41"/>
    </row>
    <row r="35" spans="1:26">
      <c r="A35" s="218">
        <v>1</v>
      </c>
      <c r="B35" s="106">
        <v>1</v>
      </c>
      <c r="C35" s="98" t="s">
        <v>98</v>
      </c>
      <c r="D35" s="36">
        <f>K35</f>
        <v>2881</v>
      </c>
      <c r="E35" s="116">
        <v>6</v>
      </c>
      <c r="F35" s="103">
        <f>E35*51324</f>
        <v>307944</v>
      </c>
      <c r="G35" s="37">
        <v>2</v>
      </c>
      <c r="H35" s="37">
        <f t="shared" ref="H35" si="10">52753*G35</f>
        <v>105506</v>
      </c>
      <c r="I35" s="37"/>
      <c r="J35" s="37"/>
      <c r="K35" s="116">
        <v>2881</v>
      </c>
      <c r="L35" s="105">
        <f t="shared" ref="L35:L57" si="11">K35*1.05</f>
        <v>3025.05</v>
      </c>
      <c r="M35" s="61"/>
      <c r="N35" s="79"/>
      <c r="O35" s="14"/>
      <c r="P35" s="14"/>
      <c r="Q35" s="61"/>
      <c r="R35" s="85"/>
      <c r="S35" s="88"/>
      <c r="T35" s="88"/>
      <c r="U35" s="88"/>
      <c r="V35" s="2"/>
      <c r="W35" s="15"/>
      <c r="X35" s="24"/>
      <c r="Y35" s="41"/>
      <c r="Z35" s="43"/>
    </row>
    <row r="36" spans="1:26">
      <c r="A36" s="218">
        <v>2</v>
      </c>
      <c r="B36" s="106">
        <v>1</v>
      </c>
      <c r="C36" s="98" t="s">
        <v>65</v>
      </c>
      <c r="D36" s="36">
        <f t="shared" ref="D36:D66" si="12">K36</f>
        <v>1091</v>
      </c>
      <c r="E36" s="116">
        <v>0</v>
      </c>
      <c r="F36" s="103">
        <f t="shared" ref="F36:F66" si="13">E36*51324</f>
        <v>0</v>
      </c>
      <c r="G36" s="37"/>
      <c r="H36" s="37"/>
      <c r="I36" s="37"/>
      <c r="J36" s="37"/>
      <c r="K36" s="116">
        <v>1091</v>
      </c>
      <c r="L36" s="105">
        <f t="shared" si="11"/>
        <v>1145.55</v>
      </c>
      <c r="M36" s="61"/>
      <c r="N36" s="79"/>
      <c r="O36" s="14"/>
      <c r="P36" s="14"/>
      <c r="Q36" s="61"/>
      <c r="R36" s="85"/>
      <c r="S36" s="88"/>
      <c r="T36" s="88"/>
      <c r="U36" s="88"/>
      <c r="V36" s="2"/>
      <c r="W36" s="15"/>
      <c r="X36" s="24"/>
      <c r="Y36" s="41"/>
      <c r="Z36" s="43"/>
    </row>
    <row r="37" spans="1:26">
      <c r="A37" s="218">
        <v>3</v>
      </c>
      <c r="B37" s="106">
        <v>1</v>
      </c>
      <c r="C37" s="98" t="s">
        <v>66</v>
      </c>
      <c r="D37" s="36">
        <f t="shared" si="12"/>
        <v>3639</v>
      </c>
      <c r="E37" s="102">
        <v>2</v>
      </c>
      <c r="F37" s="103">
        <f t="shared" si="13"/>
        <v>102648</v>
      </c>
      <c r="G37" s="37"/>
      <c r="H37" s="37"/>
      <c r="I37" s="37"/>
      <c r="J37" s="37"/>
      <c r="K37" s="104">
        <v>3639</v>
      </c>
      <c r="L37" s="105">
        <f t="shared" si="11"/>
        <v>3820.9500000000003</v>
      </c>
      <c r="M37" s="61"/>
      <c r="N37" s="79"/>
      <c r="O37" s="14"/>
      <c r="P37" s="14"/>
      <c r="Q37" s="61"/>
      <c r="R37" s="85"/>
      <c r="S37" s="88"/>
      <c r="T37" s="88"/>
      <c r="U37" s="88"/>
      <c r="V37" s="2"/>
      <c r="W37" s="15"/>
      <c r="X37" s="24"/>
      <c r="Y37" s="41"/>
      <c r="Z37" s="43"/>
    </row>
    <row r="38" spans="1:26">
      <c r="A38" s="218">
        <v>4</v>
      </c>
      <c r="B38" s="106">
        <v>1</v>
      </c>
      <c r="C38" s="98" t="s">
        <v>67</v>
      </c>
      <c r="D38" s="36">
        <f t="shared" si="12"/>
        <v>2832</v>
      </c>
      <c r="E38" s="102">
        <v>4</v>
      </c>
      <c r="F38" s="103">
        <f t="shared" si="13"/>
        <v>205296</v>
      </c>
      <c r="G38" s="37"/>
      <c r="H38" s="37"/>
      <c r="I38" s="37"/>
      <c r="J38" s="37"/>
      <c r="K38" s="104">
        <v>2832</v>
      </c>
      <c r="L38" s="105">
        <f t="shared" si="11"/>
        <v>2973.6</v>
      </c>
      <c r="M38" s="61"/>
      <c r="N38" s="79"/>
      <c r="O38" s="14"/>
      <c r="P38" s="14"/>
      <c r="Q38" s="61"/>
      <c r="R38" s="85"/>
      <c r="S38" s="88"/>
      <c r="T38" s="88"/>
      <c r="U38" s="88"/>
      <c r="V38" s="2"/>
      <c r="W38" s="15"/>
      <c r="X38" s="24"/>
      <c r="Y38" s="41"/>
      <c r="Z38" s="43"/>
    </row>
    <row r="39" spans="1:26">
      <c r="A39" s="218">
        <v>5</v>
      </c>
      <c r="B39" s="106">
        <v>1</v>
      </c>
      <c r="C39" s="98" t="s">
        <v>68</v>
      </c>
      <c r="D39" s="36">
        <f t="shared" si="12"/>
        <v>1922</v>
      </c>
      <c r="E39" s="102">
        <v>4</v>
      </c>
      <c r="F39" s="103">
        <f t="shared" si="13"/>
        <v>205296</v>
      </c>
      <c r="G39" s="37"/>
      <c r="H39" s="37"/>
      <c r="I39" s="37"/>
      <c r="J39" s="37"/>
      <c r="K39" s="104">
        <v>1922</v>
      </c>
      <c r="L39" s="105">
        <f t="shared" si="11"/>
        <v>2018.1000000000001</v>
      </c>
      <c r="M39" s="61"/>
      <c r="N39" s="79"/>
      <c r="O39" s="14"/>
      <c r="P39" s="14"/>
      <c r="Q39" s="61"/>
      <c r="R39" s="85"/>
      <c r="S39" s="88"/>
      <c r="T39" s="88"/>
      <c r="U39" s="88"/>
      <c r="V39" s="2"/>
      <c r="W39" s="15"/>
      <c r="X39" s="24"/>
      <c r="Y39" s="41"/>
      <c r="Z39" s="43"/>
    </row>
    <row r="40" spans="1:26">
      <c r="A40" s="218">
        <v>6</v>
      </c>
      <c r="B40" s="106">
        <v>2</v>
      </c>
      <c r="C40" s="98" t="s">
        <v>69</v>
      </c>
      <c r="D40" s="36">
        <f t="shared" si="12"/>
        <v>3595</v>
      </c>
      <c r="E40" s="102">
        <v>8</v>
      </c>
      <c r="F40" s="103">
        <f t="shared" si="13"/>
        <v>410592</v>
      </c>
      <c r="G40" s="37"/>
      <c r="H40" s="37"/>
      <c r="I40" s="37"/>
      <c r="J40" s="37"/>
      <c r="K40" s="104">
        <v>3595</v>
      </c>
      <c r="L40" s="105">
        <f t="shared" si="11"/>
        <v>3774.75</v>
      </c>
      <c r="M40" s="61"/>
      <c r="N40" s="79"/>
      <c r="O40" s="14"/>
      <c r="P40" s="14"/>
      <c r="Q40" s="61"/>
      <c r="R40" s="85"/>
      <c r="S40" s="88"/>
      <c r="T40" s="88"/>
      <c r="U40" s="88"/>
      <c r="V40" s="2"/>
      <c r="W40" s="15"/>
      <c r="X40" s="24"/>
      <c r="Y40" s="41"/>
      <c r="Z40" s="43"/>
    </row>
    <row r="41" spans="1:26">
      <c r="A41" s="218">
        <v>7</v>
      </c>
      <c r="B41" s="106">
        <v>2</v>
      </c>
      <c r="C41" s="98" t="s">
        <v>70</v>
      </c>
      <c r="D41" s="36">
        <f t="shared" si="12"/>
        <v>2329</v>
      </c>
      <c r="E41" s="102">
        <v>5</v>
      </c>
      <c r="F41" s="103">
        <f t="shared" si="13"/>
        <v>256620</v>
      </c>
      <c r="G41" s="37"/>
      <c r="H41" s="37"/>
      <c r="I41" s="37"/>
      <c r="J41" s="37"/>
      <c r="K41" s="104">
        <v>2329</v>
      </c>
      <c r="L41" s="105">
        <f t="shared" si="11"/>
        <v>2445.4500000000003</v>
      </c>
      <c r="M41" s="61"/>
      <c r="N41" s="79"/>
      <c r="O41" s="14"/>
      <c r="P41" s="14"/>
      <c r="Q41" s="61"/>
      <c r="R41" s="85"/>
      <c r="S41" s="88"/>
      <c r="T41" s="88"/>
      <c r="U41" s="88"/>
      <c r="V41" s="2"/>
      <c r="W41" s="15"/>
      <c r="X41" s="24"/>
      <c r="Y41" s="41"/>
      <c r="Z41" s="43"/>
    </row>
    <row r="42" spans="1:26" ht="37.5">
      <c r="A42" s="218">
        <v>8</v>
      </c>
      <c r="B42" s="106">
        <v>2</v>
      </c>
      <c r="C42" s="98" t="s">
        <v>71</v>
      </c>
      <c r="D42" s="36">
        <f t="shared" si="12"/>
        <v>1300</v>
      </c>
      <c r="E42" s="102">
        <v>3</v>
      </c>
      <c r="F42" s="103">
        <f t="shared" si="13"/>
        <v>153972</v>
      </c>
      <c r="G42" s="37"/>
      <c r="H42" s="37"/>
      <c r="I42" s="37"/>
      <c r="J42" s="37"/>
      <c r="K42" s="104">
        <v>1300</v>
      </c>
      <c r="L42" s="105">
        <f t="shared" si="11"/>
        <v>1365</v>
      </c>
      <c r="M42" s="61"/>
      <c r="N42" s="79"/>
      <c r="O42" s="14"/>
      <c r="P42" s="14"/>
      <c r="Q42" s="61"/>
      <c r="R42" s="85"/>
      <c r="S42" s="88"/>
      <c r="T42" s="88"/>
      <c r="U42" s="88"/>
      <c r="V42" s="2"/>
      <c r="W42" s="15"/>
      <c r="X42" s="24"/>
      <c r="Y42" s="41"/>
      <c r="Z42" s="43"/>
    </row>
    <row r="43" spans="1:26">
      <c r="A43" s="218">
        <v>9</v>
      </c>
      <c r="B43" s="106">
        <v>1</v>
      </c>
      <c r="C43" s="98" t="s">
        <v>72</v>
      </c>
      <c r="D43" s="36">
        <f t="shared" si="12"/>
        <v>425</v>
      </c>
      <c r="E43" s="102">
        <v>2</v>
      </c>
      <c r="F43" s="103">
        <f t="shared" si="13"/>
        <v>102648</v>
      </c>
      <c r="G43" s="37"/>
      <c r="H43" s="37"/>
      <c r="I43" s="37"/>
      <c r="J43" s="37"/>
      <c r="K43" s="104">
        <v>425</v>
      </c>
      <c r="L43" s="105">
        <f t="shared" si="11"/>
        <v>446.25</v>
      </c>
      <c r="M43" s="61"/>
      <c r="N43" s="79"/>
      <c r="O43" s="14"/>
      <c r="P43" s="14"/>
      <c r="Q43" s="61"/>
      <c r="R43" s="85"/>
      <c r="S43" s="88"/>
      <c r="T43" s="88"/>
      <c r="U43" s="88"/>
      <c r="V43" s="2"/>
      <c r="W43" s="15"/>
      <c r="X43" s="24"/>
      <c r="Y43" s="41"/>
      <c r="Z43" s="43"/>
    </row>
    <row r="44" spans="1:26">
      <c r="A44" s="218">
        <v>10</v>
      </c>
      <c r="B44" s="106">
        <v>1</v>
      </c>
      <c r="C44" s="98" t="s">
        <v>73</v>
      </c>
      <c r="D44" s="36">
        <f t="shared" si="12"/>
        <v>1633</v>
      </c>
      <c r="E44" s="102">
        <v>1</v>
      </c>
      <c r="F44" s="103">
        <f t="shared" si="13"/>
        <v>51324</v>
      </c>
      <c r="G44" s="37"/>
      <c r="H44" s="37"/>
      <c r="I44" s="37"/>
      <c r="J44" s="37"/>
      <c r="K44" s="104">
        <v>1633</v>
      </c>
      <c r="L44" s="105">
        <f t="shared" si="11"/>
        <v>1714.65</v>
      </c>
      <c r="M44" s="61"/>
      <c r="N44" s="79"/>
      <c r="O44" s="14"/>
      <c r="P44" s="14"/>
      <c r="Q44" s="61"/>
      <c r="R44" s="85"/>
      <c r="S44" s="88"/>
      <c r="T44" s="88"/>
      <c r="U44" s="88"/>
      <c r="V44" s="2"/>
      <c r="W44" s="15"/>
      <c r="X44" s="24"/>
      <c r="Y44" s="41"/>
      <c r="Z44" s="43"/>
    </row>
    <row r="45" spans="1:26">
      <c r="A45" s="218">
        <v>11</v>
      </c>
      <c r="B45" s="106">
        <v>1</v>
      </c>
      <c r="C45" s="98" t="s">
        <v>74</v>
      </c>
      <c r="D45" s="36">
        <f t="shared" si="12"/>
        <v>1920</v>
      </c>
      <c r="E45" s="102">
        <v>1</v>
      </c>
      <c r="F45" s="103">
        <f t="shared" si="13"/>
        <v>51324</v>
      </c>
      <c r="G45" s="37"/>
      <c r="H45" s="37"/>
      <c r="I45" s="37"/>
      <c r="J45" s="37"/>
      <c r="K45" s="104">
        <v>1920</v>
      </c>
      <c r="L45" s="105">
        <f t="shared" si="11"/>
        <v>2016</v>
      </c>
      <c r="M45" s="61"/>
      <c r="N45" s="79"/>
      <c r="O45" s="14"/>
      <c r="P45" s="14"/>
      <c r="Q45" s="61"/>
      <c r="R45" s="85"/>
      <c r="S45" s="88"/>
      <c r="T45" s="88"/>
      <c r="U45" s="88"/>
      <c r="V45" s="2"/>
      <c r="W45" s="15"/>
      <c r="X45" s="24"/>
      <c r="Y45" s="41"/>
      <c r="Z45" s="43"/>
    </row>
    <row r="46" spans="1:26" ht="37.5">
      <c r="A46" s="218">
        <v>12</v>
      </c>
      <c r="B46" s="106">
        <v>2</v>
      </c>
      <c r="C46" s="98" t="s">
        <v>75</v>
      </c>
      <c r="D46" s="36">
        <f t="shared" si="12"/>
        <v>3307</v>
      </c>
      <c r="E46" s="102">
        <v>4</v>
      </c>
      <c r="F46" s="103">
        <f t="shared" si="13"/>
        <v>205296</v>
      </c>
      <c r="G46" s="37"/>
      <c r="H46" s="37"/>
      <c r="I46" s="37"/>
      <c r="J46" s="37"/>
      <c r="K46" s="104">
        <v>3307</v>
      </c>
      <c r="L46" s="105">
        <f t="shared" si="11"/>
        <v>3472.3500000000004</v>
      </c>
      <c r="M46" s="61"/>
      <c r="N46" s="79"/>
      <c r="O46" s="14"/>
      <c r="P46" s="14"/>
      <c r="Q46" s="61"/>
      <c r="R46" s="85"/>
      <c r="S46" s="88"/>
      <c r="T46" s="88"/>
      <c r="U46" s="88"/>
      <c r="V46" s="2"/>
      <c r="W46" s="15"/>
      <c r="X46" s="24"/>
      <c r="Y46" s="41"/>
      <c r="Z46" s="43"/>
    </row>
    <row r="47" spans="1:26">
      <c r="A47" s="218">
        <v>13</v>
      </c>
      <c r="B47" s="106">
        <v>2</v>
      </c>
      <c r="C47" s="98" t="s">
        <v>76</v>
      </c>
      <c r="D47" s="36">
        <f t="shared" si="12"/>
        <v>1922</v>
      </c>
      <c r="E47" s="102">
        <v>4</v>
      </c>
      <c r="F47" s="103">
        <f t="shared" si="13"/>
        <v>205296</v>
      </c>
      <c r="G47" s="37"/>
      <c r="H47" s="37"/>
      <c r="I47" s="37"/>
      <c r="J47" s="37"/>
      <c r="K47" s="104">
        <v>1922</v>
      </c>
      <c r="L47" s="105">
        <f t="shared" si="11"/>
        <v>2018.1000000000001</v>
      </c>
      <c r="M47" s="61"/>
      <c r="N47" s="79"/>
      <c r="O47" s="14"/>
      <c r="P47" s="14"/>
      <c r="Q47" s="61"/>
      <c r="R47" s="85"/>
      <c r="S47" s="88"/>
      <c r="T47" s="88"/>
      <c r="U47" s="88"/>
      <c r="V47" s="2"/>
      <c r="W47" s="15"/>
      <c r="X47" s="24"/>
      <c r="Y47" s="41"/>
      <c r="Z47" s="43"/>
    </row>
    <row r="48" spans="1:26" ht="37.5">
      <c r="A48" s="218">
        <v>14</v>
      </c>
      <c r="B48" s="106">
        <v>2</v>
      </c>
      <c r="C48" s="98" t="s">
        <v>77</v>
      </c>
      <c r="D48" s="36">
        <f t="shared" si="12"/>
        <v>3307</v>
      </c>
      <c r="E48" s="102">
        <v>4</v>
      </c>
      <c r="F48" s="103">
        <f t="shared" si="13"/>
        <v>205296</v>
      </c>
      <c r="G48" s="37"/>
      <c r="H48" s="37"/>
      <c r="I48" s="37"/>
      <c r="J48" s="37"/>
      <c r="K48" s="104">
        <v>3307</v>
      </c>
      <c r="L48" s="105">
        <f t="shared" si="11"/>
        <v>3472.3500000000004</v>
      </c>
      <c r="M48" s="61"/>
      <c r="N48" s="79"/>
      <c r="O48" s="14"/>
      <c r="P48" s="14"/>
      <c r="Q48" s="61"/>
      <c r="R48" s="85"/>
      <c r="S48" s="88"/>
      <c r="T48" s="88"/>
      <c r="U48" s="88"/>
      <c r="V48" s="2"/>
      <c r="W48" s="15"/>
      <c r="X48" s="24"/>
      <c r="Y48" s="41"/>
      <c r="Z48" s="43"/>
    </row>
    <row r="49" spans="1:26">
      <c r="A49" s="218">
        <v>15</v>
      </c>
      <c r="B49" s="106">
        <v>2</v>
      </c>
      <c r="C49" s="98" t="s">
        <v>78</v>
      </c>
      <c r="D49" s="36">
        <f t="shared" si="12"/>
        <v>1312</v>
      </c>
      <c r="E49" s="102">
        <v>1</v>
      </c>
      <c r="F49" s="103">
        <f t="shared" si="13"/>
        <v>51324</v>
      </c>
      <c r="G49" s="37"/>
      <c r="H49" s="37"/>
      <c r="I49" s="37"/>
      <c r="J49" s="37"/>
      <c r="K49" s="104">
        <v>1312</v>
      </c>
      <c r="L49" s="105">
        <f t="shared" si="11"/>
        <v>1377.6000000000001</v>
      </c>
      <c r="M49" s="61"/>
      <c r="N49" s="79"/>
      <c r="O49" s="14"/>
      <c r="P49" s="14"/>
      <c r="Q49" s="61"/>
      <c r="R49" s="85"/>
      <c r="S49" s="88"/>
      <c r="T49" s="88"/>
      <c r="U49" s="88"/>
      <c r="V49" s="2"/>
      <c r="W49" s="15"/>
      <c r="X49" s="24"/>
      <c r="Y49" s="41"/>
      <c r="Z49" s="43"/>
    </row>
    <row r="50" spans="1:26">
      <c r="A50" s="218">
        <v>16</v>
      </c>
      <c r="B50" s="106">
        <v>2</v>
      </c>
      <c r="C50" s="98" t="s">
        <v>79</v>
      </c>
      <c r="D50" s="36">
        <f t="shared" si="12"/>
        <v>1914</v>
      </c>
      <c r="E50" s="102">
        <v>1</v>
      </c>
      <c r="F50" s="103">
        <f t="shared" si="13"/>
        <v>51324</v>
      </c>
      <c r="G50" s="37"/>
      <c r="H50" s="37"/>
      <c r="I50" s="37"/>
      <c r="J50" s="37"/>
      <c r="K50" s="104">
        <v>1914</v>
      </c>
      <c r="L50" s="105">
        <f t="shared" si="11"/>
        <v>2009.7</v>
      </c>
      <c r="M50" s="61"/>
      <c r="N50" s="79"/>
      <c r="O50" s="14"/>
      <c r="P50" s="14"/>
      <c r="Q50" s="61"/>
      <c r="R50" s="85"/>
      <c r="S50" s="88"/>
      <c r="T50" s="88"/>
      <c r="U50" s="88"/>
      <c r="V50" s="2"/>
      <c r="W50" s="15"/>
      <c r="X50" s="24"/>
      <c r="Y50" s="41"/>
      <c r="Z50" s="43"/>
    </row>
    <row r="51" spans="1:26">
      <c r="A51" s="218">
        <v>17</v>
      </c>
      <c r="B51" s="106">
        <v>1</v>
      </c>
      <c r="C51" s="98" t="s">
        <v>80</v>
      </c>
      <c r="D51" s="36">
        <f t="shared" si="12"/>
        <v>1572</v>
      </c>
      <c r="E51" s="102">
        <v>0</v>
      </c>
      <c r="F51" s="103">
        <f t="shared" si="13"/>
        <v>0</v>
      </c>
      <c r="G51" s="37"/>
      <c r="H51" s="37"/>
      <c r="I51" s="37"/>
      <c r="J51" s="37"/>
      <c r="K51" s="104">
        <v>1572</v>
      </c>
      <c r="L51" s="105">
        <f t="shared" si="11"/>
        <v>1650.6000000000001</v>
      </c>
      <c r="M51" s="61"/>
      <c r="N51" s="79"/>
      <c r="O51" s="14"/>
      <c r="P51" s="14"/>
      <c r="Q51" s="61"/>
      <c r="R51" s="85"/>
      <c r="S51" s="88"/>
      <c r="T51" s="88"/>
      <c r="U51" s="88"/>
      <c r="V51" s="2"/>
      <c r="W51" s="15"/>
      <c r="X51" s="24"/>
      <c r="Y51" s="41"/>
      <c r="Z51" s="43"/>
    </row>
    <row r="52" spans="1:26">
      <c r="A52" s="218">
        <v>18</v>
      </c>
      <c r="B52" s="106">
        <v>1</v>
      </c>
      <c r="C52" s="98" t="s">
        <v>81</v>
      </c>
      <c r="D52" s="36">
        <f t="shared" si="12"/>
        <v>1135</v>
      </c>
      <c r="E52" s="102">
        <v>0</v>
      </c>
      <c r="F52" s="103">
        <f t="shared" si="13"/>
        <v>0</v>
      </c>
      <c r="G52" s="37"/>
      <c r="H52" s="37"/>
      <c r="I52" s="37"/>
      <c r="J52" s="37"/>
      <c r="K52" s="104">
        <v>1135</v>
      </c>
      <c r="L52" s="105">
        <f t="shared" si="11"/>
        <v>1191.75</v>
      </c>
      <c r="M52" s="61"/>
      <c r="N52" s="79"/>
      <c r="O52" s="14"/>
      <c r="P52" s="14"/>
      <c r="Q52" s="61"/>
      <c r="R52" s="85"/>
      <c r="S52" s="88"/>
      <c r="T52" s="88"/>
      <c r="U52" s="88"/>
      <c r="V52" s="2"/>
      <c r="W52" s="15"/>
      <c r="X52" s="24"/>
      <c r="Y52" s="41"/>
      <c r="Z52" s="43"/>
    </row>
    <row r="53" spans="1:26">
      <c r="A53" s="218">
        <v>19</v>
      </c>
      <c r="B53" s="106">
        <v>1</v>
      </c>
      <c r="C53" s="98" t="s">
        <v>82</v>
      </c>
      <c r="D53" s="36">
        <f t="shared" si="12"/>
        <v>1135</v>
      </c>
      <c r="E53" s="102">
        <v>0</v>
      </c>
      <c r="F53" s="103">
        <f t="shared" si="13"/>
        <v>0</v>
      </c>
      <c r="G53" s="37"/>
      <c r="H53" s="37"/>
      <c r="I53" s="37"/>
      <c r="J53" s="37"/>
      <c r="K53" s="104">
        <v>1135</v>
      </c>
      <c r="L53" s="105">
        <f t="shared" si="11"/>
        <v>1191.75</v>
      </c>
      <c r="M53" s="61"/>
      <c r="N53" s="79"/>
      <c r="O53" s="14"/>
      <c r="P53" s="14"/>
      <c r="Q53" s="61"/>
      <c r="R53" s="85"/>
      <c r="S53" s="88"/>
      <c r="T53" s="88"/>
      <c r="U53" s="88"/>
      <c r="V53" s="2"/>
      <c r="W53" s="15"/>
      <c r="X53" s="24"/>
      <c r="Y53" s="41"/>
      <c r="Z53" s="43"/>
    </row>
    <row r="54" spans="1:26">
      <c r="A54" s="218">
        <v>20</v>
      </c>
      <c r="B54" s="106">
        <v>1</v>
      </c>
      <c r="C54" s="98" t="s">
        <v>83</v>
      </c>
      <c r="D54" s="36">
        <f t="shared" si="12"/>
        <v>1318</v>
      </c>
      <c r="E54" s="102">
        <v>0</v>
      </c>
      <c r="F54" s="103">
        <f t="shared" si="13"/>
        <v>0</v>
      </c>
      <c r="G54" s="37"/>
      <c r="H54" s="37"/>
      <c r="I54" s="37"/>
      <c r="J54" s="37"/>
      <c r="K54" s="104">
        <v>1318</v>
      </c>
      <c r="L54" s="105">
        <f t="shared" si="11"/>
        <v>1383.9</v>
      </c>
      <c r="M54" s="61"/>
      <c r="N54" s="79"/>
      <c r="O54" s="14"/>
      <c r="P54" s="14"/>
      <c r="Q54" s="61"/>
      <c r="R54" s="85"/>
      <c r="S54" s="88"/>
      <c r="T54" s="88"/>
      <c r="U54" s="88"/>
      <c r="V54" s="2"/>
      <c r="W54" s="15"/>
      <c r="X54" s="24"/>
      <c r="Y54" s="41"/>
      <c r="Z54" s="43"/>
    </row>
    <row r="55" spans="1:26">
      <c r="A55" s="218">
        <v>21</v>
      </c>
      <c r="B55" s="106">
        <v>1</v>
      </c>
      <c r="C55" s="98" t="s">
        <v>84</v>
      </c>
      <c r="D55" s="36">
        <f t="shared" si="12"/>
        <v>827</v>
      </c>
      <c r="E55" s="102">
        <v>0</v>
      </c>
      <c r="F55" s="103">
        <f t="shared" si="13"/>
        <v>0</v>
      </c>
      <c r="G55" s="37"/>
      <c r="H55" s="37"/>
      <c r="I55" s="37"/>
      <c r="J55" s="37"/>
      <c r="K55" s="104">
        <v>827</v>
      </c>
      <c r="L55" s="105">
        <f t="shared" si="11"/>
        <v>868.35</v>
      </c>
      <c r="M55" s="61"/>
      <c r="N55" s="79"/>
      <c r="O55" s="14"/>
      <c r="P55" s="14"/>
      <c r="Q55" s="61"/>
      <c r="R55" s="85"/>
      <c r="S55" s="88"/>
      <c r="T55" s="88"/>
      <c r="U55" s="88"/>
      <c r="V55" s="2"/>
      <c r="W55" s="15"/>
      <c r="X55" s="24"/>
      <c r="Y55" s="41"/>
      <c r="Z55" s="43"/>
    </row>
    <row r="56" spans="1:26">
      <c r="A56" s="218">
        <v>22</v>
      </c>
      <c r="B56" s="106">
        <v>1</v>
      </c>
      <c r="C56" s="98" t="s">
        <v>85</v>
      </c>
      <c r="D56" s="36">
        <f t="shared" si="12"/>
        <v>821</v>
      </c>
      <c r="E56" s="102">
        <v>2</v>
      </c>
      <c r="F56" s="103">
        <f t="shared" si="13"/>
        <v>102648</v>
      </c>
      <c r="G56" s="37"/>
      <c r="H56" s="37"/>
      <c r="I56" s="37"/>
      <c r="J56" s="37"/>
      <c r="K56" s="104">
        <v>821</v>
      </c>
      <c r="L56" s="105">
        <f t="shared" si="11"/>
        <v>862.05000000000007</v>
      </c>
      <c r="M56" s="61"/>
      <c r="N56" s="79"/>
      <c r="O56" s="14"/>
      <c r="P56" s="14"/>
      <c r="Q56" s="61"/>
      <c r="R56" s="85"/>
      <c r="S56" s="88"/>
      <c r="T56" s="88"/>
      <c r="U56" s="88"/>
      <c r="V56" s="2"/>
      <c r="W56" s="15"/>
      <c r="X56" s="24"/>
      <c r="Y56" s="41"/>
      <c r="Z56" s="43"/>
    </row>
    <row r="57" spans="1:26">
      <c r="A57" s="218">
        <v>23</v>
      </c>
      <c r="B57" s="106">
        <v>1</v>
      </c>
      <c r="C57" s="98" t="s">
        <v>86</v>
      </c>
      <c r="D57" s="36">
        <f t="shared" si="12"/>
        <v>832</v>
      </c>
      <c r="E57" s="102">
        <v>4</v>
      </c>
      <c r="F57" s="103">
        <f t="shared" si="13"/>
        <v>205296</v>
      </c>
      <c r="G57" s="37"/>
      <c r="H57" s="37"/>
      <c r="I57" s="37"/>
      <c r="J57" s="37"/>
      <c r="K57" s="104">
        <v>832</v>
      </c>
      <c r="L57" s="105">
        <f t="shared" si="11"/>
        <v>873.6</v>
      </c>
      <c r="M57" s="61"/>
      <c r="N57" s="79"/>
      <c r="O57" s="14"/>
      <c r="P57" s="14"/>
      <c r="Q57" s="61"/>
      <c r="R57" s="85"/>
      <c r="S57" s="88"/>
      <c r="T57" s="88"/>
      <c r="U57" s="88"/>
      <c r="V57" s="2"/>
      <c r="W57" s="15"/>
      <c r="X57" s="24"/>
      <c r="Y57" s="41"/>
      <c r="Z57" s="43"/>
    </row>
    <row r="58" spans="1:26">
      <c r="A58" s="200">
        <v>24</v>
      </c>
      <c r="B58" s="106">
        <v>1</v>
      </c>
      <c r="C58" s="98" t="s">
        <v>87</v>
      </c>
      <c r="D58" s="36">
        <f t="shared" si="12"/>
        <v>1920</v>
      </c>
      <c r="E58" s="102">
        <v>1</v>
      </c>
      <c r="F58" s="103">
        <f t="shared" si="13"/>
        <v>51324</v>
      </c>
      <c r="G58" s="37"/>
      <c r="H58" s="37"/>
      <c r="I58" s="37"/>
      <c r="J58" s="37"/>
      <c r="K58" s="104">
        <v>1920</v>
      </c>
      <c r="L58" s="105">
        <f>K58*1.02</f>
        <v>1958.4</v>
      </c>
      <c r="M58" s="61"/>
      <c r="N58" s="79"/>
      <c r="O58" s="14"/>
      <c r="P58" s="14"/>
      <c r="Q58" s="61"/>
      <c r="R58" s="85"/>
      <c r="S58" s="88"/>
      <c r="T58" s="88"/>
      <c r="U58" s="88"/>
      <c r="V58" s="2"/>
      <c r="W58" s="15"/>
      <c r="X58" s="24"/>
      <c r="Y58" s="41"/>
      <c r="Z58" s="43"/>
    </row>
    <row r="59" spans="1:26">
      <c r="A59" s="200">
        <v>25</v>
      </c>
      <c r="B59" s="106">
        <v>2</v>
      </c>
      <c r="C59" s="98" t="s">
        <v>88</v>
      </c>
      <c r="D59" s="36">
        <f t="shared" si="12"/>
        <v>1560</v>
      </c>
      <c r="E59" s="102">
        <v>4</v>
      </c>
      <c r="F59" s="103">
        <f t="shared" si="13"/>
        <v>205296</v>
      </c>
      <c r="G59" s="37"/>
      <c r="H59" s="37"/>
      <c r="I59" s="37"/>
      <c r="J59" s="37"/>
      <c r="K59" s="104">
        <v>1560</v>
      </c>
      <c r="L59" s="105">
        <f>K59*1.02</f>
        <v>1591.2</v>
      </c>
      <c r="M59" s="61"/>
      <c r="N59" s="79"/>
      <c r="O59" s="14"/>
      <c r="P59" s="14"/>
      <c r="Q59" s="61"/>
      <c r="R59" s="85"/>
      <c r="S59" s="88"/>
      <c r="T59" s="88"/>
      <c r="U59" s="88"/>
      <c r="V59" s="2"/>
      <c r="W59" s="15"/>
      <c r="X59" s="24"/>
      <c r="Y59" s="41"/>
      <c r="Z59" s="43"/>
    </row>
    <row r="60" spans="1:26">
      <c r="A60" s="200">
        <v>26</v>
      </c>
      <c r="B60" s="106">
        <v>1</v>
      </c>
      <c r="C60" s="98" t="s">
        <v>89</v>
      </c>
      <c r="D60" s="36">
        <f t="shared" si="12"/>
        <v>2642</v>
      </c>
      <c r="E60" s="102">
        <v>8</v>
      </c>
      <c r="F60" s="103">
        <f t="shared" si="13"/>
        <v>410592</v>
      </c>
      <c r="G60" s="37"/>
      <c r="H60" s="37"/>
      <c r="I60" s="37"/>
      <c r="J60" s="37"/>
      <c r="K60" s="104">
        <v>2642</v>
      </c>
      <c r="L60" s="105">
        <v>2704.8310000000001</v>
      </c>
      <c r="M60" s="61"/>
      <c r="N60" s="79"/>
      <c r="O60" s="14"/>
      <c r="P60" s="14"/>
      <c r="Q60" s="61"/>
      <c r="R60" s="85"/>
      <c r="S60" s="88"/>
      <c r="T60" s="88"/>
      <c r="U60" s="88"/>
      <c r="V60" s="2"/>
      <c r="W60" s="15"/>
      <c r="X60" s="24"/>
      <c r="Y60" s="41"/>
      <c r="Z60" s="43"/>
    </row>
    <row r="61" spans="1:26">
      <c r="A61" s="200">
        <v>27</v>
      </c>
      <c r="B61" s="106">
        <v>3</v>
      </c>
      <c r="C61" s="115" t="s">
        <v>90</v>
      </c>
      <c r="D61" s="36">
        <f t="shared" si="12"/>
        <v>3279</v>
      </c>
      <c r="E61" s="102">
        <v>7</v>
      </c>
      <c r="F61" s="103">
        <f t="shared" si="13"/>
        <v>359268</v>
      </c>
      <c r="G61" s="37"/>
      <c r="H61" s="37"/>
      <c r="I61" s="37"/>
      <c r="J61" s="37"/>
      <c r="K61" s="104">
        <v>3279</v>
      </c>
      <c r="L61" s="105">
        <f>K61*1.025</f>
        <v>3360.9749999999999</v>
      </c>
      <c r="M61" s="61"/>
      <c r="N61" s="79"/>
      <c r="O61" s="14"/>
      <c r="P61" s="14"/>
      <c r="Q61" s="61"/>
      <c r="R61" s="85"/>
      <c r="S61" s="88"/>
      <c r="T61" s="88"/>
      <c r="U61" s="88"/>
      <c r="V61" s="2"/>
      <c r="W61" s="15"/>
      <c r="X61" s="24"/>
      <c r="Y61" s="41"/>
      <c r="Z61" s="43"/>
    </row>
    <row r="62" spans="1:26">
      <c r="A62" s="200">
        <v>28</v>
      </c>
      <c r="B62" s="106">
        <v>2</v>
      </c>
      <c r="C62" s="98" t="s">
        <v>91</v>
      </c>
      <c r="D62" s="36">
        <f t="shared" si="12"/>
        <v>2347</v>
      </c>
      <c r="E62" s="102">
        <v>0</v>
      </c>
      <c r="F62" s="103">
        <f t="shared" si="13"/>
        <v>0</v>
      </c>
      <c r="G62" s="37"/>
      <c r="H62" s="37"/>
      <c r="I62" s="37"/>
      <c r="J62" s="37"/>
      <c r="K62" s="104">
        <v>2347</v>
      </c>
      <c r="L62" s="105">
        <f>K62*1.025</f>
        <v>2405.6749999999997</v>
      </c>
      <c r="M62" s="61"/>
      <c r="N62" s="79"/>
      <c r="O62" s="14"/>
      <c r="P62" s="14"/>
      <c r="Q62" s="61"/>
      <c r="R62" s="85"/>
      <c r="S62" s="88"/>
      <c r="T62" s="88"/>
      <c r="U62" s="88"/>
      <c r="V62" s="2"/>
      <c r="W62" s="15"/>
      <c r="X62" s="24"/>
      <c r="Y62" s="41"/>
      <c r="Z62" s="43"/>
    </row>
    <row r="63" spans="1:26">
      <c r="A63" s="200">
        <v>29</v>
      </c>
      <c r="B63" s="123">
        <v>4</v>
      </c>
      <c r="C63" s="115" t="s">
        <v>92</v>
      </c>
      <c r="D63" s="36">
        <f t="shared" si="12"/>
        <v>1513</v>
      </c>
      <c r="E63" s="102">
        <v>4</v>
      </c>
      <c r="F63" s="103">
        <f t="shared" si="13"/>
        <v>205296</v>
      </c>
      <c r="G63" s="37"/>
      <c r="H63" s="37"/>
      <c r="I63" s="37"/>
      <c r="J63" s="37"/>
      <c r="K63" s="104">
        <v>1513</v>
      </c>
      <c r="L63" s="105">
        <f>K63*1.11</f>
        <v>1679.43</v>
      </c>
      <c r="M63" s="61"/>
      <c r="N63" s="79"/>
      <c r="O63" s="14"/>
      <c r="P63" s="14"/>
      <c r="Q63" s="61"/>
      <c r="R63" s="85"/>
      <c r="S63" s="88"/>
      <c r="T63" s="88"/>
      <c r="U63" s="88"/>
      <c r="V63" s="2"/>
      <c r="W63" s="15"/>
      <c r="X63" s="24"/>
      <c r="Y63" s="41"/>
      <c r="Z63" s="43"/>
    </row>
    <row r="64" spans="1:26">
      <c r="A64" s="200">
        <v>30</v>
      </c>
      <c r="B64" s="106">
        <v>2</v>
      </c>
      <c r="C64" s="98" t="s">
        <v>93</v>
      </c>
      <c r="D64" s="36">
        <f t="shared" si="12"/>
        <v>3695</v>
      </c>
      <c r="E64" s="102">
        <v>4</v>
      </c>
      <c r="F64" s="103">
        <f t="shared" si="13"/>
        <v>205296</v>
      </c>
      <c r="G64" s="37"/>
      <c r="H64" s="37"/>
      <c r="I64" s="37"/>
      <c r="J64" s="37"/>
      <c r="K64" s="104">
        <v>3695</v>
      </c>
      <c r="L64" s="105">
        <f>K64*1.11</f>
        <v>4101.4500000000007</v>
      </c>
      <c r="M64" s="61"/>
      <c r="N64" s="79"/>
      <c r="O64" s="14"/>
      <c r="P64" s="14"/>
      <c r="Q64" s="61"/>
      <c r="R64" s="85"/>
      <c r="S64" s="88"/>
      <c r="T64" s="88"/>
      <c r="U64" s="88"/>
      <c r="V64" s="2"/>
      <c r="W64" s="15"/>
      <c r="X64" s="24"/>
      <c r="Y64" s="41"/>
      <c r="Z64" s="43"/>
    </row>
    <row r="65" spans="1:26">
      <c r="A65" s="200">
        <v>31</v>
      </c>
      <c r="B65" s="163">
        <v>1</v>
      </c>
      <c r="C65" s="232" t="s">
        <v>183</v>
      </c>
      <c r="D65" s="203"/>
      <c r="E65" s="220"/>
      <c r="F65" s="221"/>
      <c r="G65" s="205"/>
      <c r="H65" s="205"/>
      <c r="I65" s="205"/>
      <c r="J65" s="205"/>
      <c r="K65" s="223"/>
      <c r="L65" s="224"/>
      <c r="M65" s="208"/>
      <c r="N65" s="243"/>
      <c r="O65" s="211"/>
      <c r="P65" s="211"/>
      <c r="Q65" s="208"/>
      <c r="R65" s="75"/>
      <c r="S65" s="228"/>
      <c r="T65" s="228"/>
      <c r="U65" s="228"/>
      <c r="V65" s="212"/>
      <c r="W65" s="205"/>
      <c r="X65" s="213"/>
      <c r="Y65" s="238"/>
      <c r="Z65" s="214"/>
    </row>
    <row r="66" spans="1:26" ht="37.5">
      <c r="A66" s="200">
        <v>32</v>
      </c>
      <c r="B66" s="106">
        <v>4</v>
      </c>
      <c r="C66" s="98" t="s">
        <v>94</v>
      </c>
      <c r="D66" s="36">
        <f t="shared" si="12"/>
        <v>5743</v>
      </c>
      <c r="E66" s="102">
        <v>5</v>
      </c>
      <c r="F66" s="103">
        <f t="shared" si="13"/>
        <v>256620</v>
      </c>
      <c r="G66" s="37"/>
      <c r="H66" s="37"/>
      <c r="I66" s="37"/>
      <c r="J66" s="37"/>
      <c r="K66" s="104">
        <v>5743</v>
      </c>
      <c r="L66" s="105">
        <f>K66*1.11</f>
        <v>6374.7300000000005</v>
      </c>
      <c r="M66" s="61"/>
      <c r="N66" s="79"/>
      <c r="O66" s="14"/>
      <c r="P66" s="14"/>
      <c r="Q66" s="61"/>
      <c r="R66" s="85"/>
      <c r="S66" s="88"/>
      <c r="T66" s="88"/>
      <c r="U66" s="88"/>
      <c r="V66" s="2"/>
      <c r="W66" s="15"/>
      <c r="X66" s="24"/>
      <c r="Y66" s="41"/>
      <c r="Z66" s="43"/>
    </row>
    <row r="67" spans="1:26">
      <c r="A67" s="17"/>
      <c r="B67" s="19">
        <f>SUM(B35:B66)</f>
        <v>51</v>
      </c>
      <c r="C67" s="18" t="s">
        <v>4</v>
      </c>
      <c r="D67" s="20">
        <f t="shared" ref="D67:L67" si="14">SUM(D35:D66)</f>
        <v>65668</v>
      </c>
      <c r="E67" s="20">
        <f t="shared" si="14"/>
        <v>89</v>
      </c>
      <c r="F67" s="74">
        <f t="shared" si="14"/>
        <v>4567836</v>
      </c>
      <c r="G67" s="1">
        <f t="shared" si="14"/>
        <v>2</v>
      </c>
      <c r="H67" s="1">
        <f t="shared" si="14"/>
        <v>105506</v>
      </c>
      <c r="I67" s="1">
        <f t="shared" si="14"/>
        <v>0</v>
      </c>
      <c r="J67" s="1">
        <f t="shared" si="14"/>
        <v>0</v>
      </c>
      <c r="K67" s="1">
        <f t="shared" si="14"/>
        <v>65668</v>
      </c>
      <c r="L67" s="74">
        <f t="shared" si="14"/>
        <v>69294.140999999989</v>
      </c>
      <c r="M67" s="20"/>
      <c r="N67" s="21"/>
      <c r="O67" s="20"/>
      <c r="P67" s="20"/>
      <c r="Q67" s="20"/>
      <c r="R67" s="230"/>
      <c r="S67" s="95"/>
      <c r="T67" s="95"/>
      <c r="U67" s="95"/>
      <c r="V67" s="2"/>
      <c r="W67" s="21"/>
      <c r="X67" s="21"/>
      <c r="Y67" s="21"/>
      <c r="Z67" s="21"/>
    </row>
    <row r="68" spans="1:26">
      <c r="A68" s="410" t="s">
        <v>5</v>
      </c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39"/>
      <c r="X68" s="39"/>
      <c r="Y68" s="41"/>
      <c r="Z68" s="41"/>
    </row>
    <row r="69" spans="1:26" ht="37.5">
      <c r="A69" s="219">
        <v>1</v>
      </c>
      <c r="B69" s="122">
        <v>3</v>
      </c>
      <c r="C69" s="91" t="s">
        <v>99</v>
      </c>
      <c r="D69" s="36">
        <f>K69+119.2+80</f>
        <v>3049.2</v>
      </c>
      <c r="E69" s="102">
        <v>6</v>
      </c>
      <c r="F69" s="103">
        <f>E69*51324</f>
        <v>307944</v>
      </c>
      <c r="G69" s="32">
        <v>2</v>
      </c>
      <c r="H69" s="37">
        <f t="shared" ref="H69:H72" si="15">52753*G69</f>
        <v>105506</v>
      </c>
      <c r="I69" s="32"/>
      <c r="J69" s="32"/>
      <c r="K69" s="104">
        <v>2850</v>
      </c>
      <c r="L69" s="105">
        <f>K69*1.05</f>
        <v>2992.5</v>
      </c>
      <c r="M69" s="82"/>
      <c r="N69" s="81"/>
      <c r="O69" s="80"/>
      <c r="P69" s="80"/>
      <c r="Q69" s="61"/>
      <c r="R69" s="85"/>
      <c r="S69" s="96"/>
      <c r="T69" s="96"/>
      <c r="U69" s="96"/>
      <c r="V69" s="2"/>
      <c r="W69" s="6"/>
      <c r="X69" s="24"/>
      <c r="Y69" s="51"/>
      <c r="Z69" s="43"/>
    </row>
    <row r="70" spans="1:26" ht="37.5">
      <c r="A70" s="219">
        <v>2</v>
      </c>
      <c r="B70" s="174">
        <v>2</v>
      </c>
      <c r="C70" s="202" t="s">
        <v>221</v>
      </c>
      <c r="D70" s="203"/>
      <c r="E70" s="220"/>
      <c r="F70" s="221"/>
      <c r="G70" s="222"/>
      <c r="H70" s="205"/>
      <c r="I70" s="222"/>
      <c r="J70" s="222"/>
      <c r="K70" s="223"/>
      <c r="L70" s="224"/>
      <c r="M70" s="225"/>
      <c r="N70" s="209"/>
      <c r="O70" s="227"/>
      <c r="P70" s="227"/>
      <c r="Q70" s="208"/>
      <c r="R70" s="75"/>
      <c r="S70" s="228"/>
      <c r="T70" s="228"/>
      <c r="U70" s="228"/>
      <c r="V70" s="212"/>
      <c r="W70" s="222"/>
      <c r="X70" s="213"/>
      <c r="Y70" s="229"/>
      <c r="Z70" s="214"/>
    </row>
    <row r="71" spans="1:26">
      <c r="A71" s="231">
        <v>3</v>
      </c>
      <c r="B71" s="122">
        <v>1</v>
      </c>
      <c r="C71" s="91" t="s">
        <v>103</v>
      </c>
      <c r="D71" s="36">
        <f>K71+120</f>
        <v>566</v>
      </c>
      <c r="E71" s="102">
        <v>2</v>
      </c>
      <c r="F71" s="103">
        <f>E71*51324</f>
        <v>102648</v>
      </c>
      <c r="G71" s="53"/>
      <c r="H71" s="53"/>
      <c r="I71" s="53">
        <v>2</v>
      </c>
      <c r="J71" s="37">
        <f>46923*I71</f>
        <v>93846</v>
      </c>
      <c r="K71" s="104">
        <v>446</v>
      </c>
      <c r="L71" s="105">
        <f>K71*1.02</f>
        <v>454.92</v>
      </c>
      <c r="M71" s="225"/>
      <c r="N71" s="209"/>
      <c r="O71" s="227"/>
      <c r="P71" s="227"/>
      <c r="Q71" s="208"/>
      <c r="R71" s="75"/>
      <c r="S71" s="228"/>
      <c r="T71" s="228"/>
      <c r="U71" s="228"/>
      <c r="V71" s="212"/>
      <c r="W71" s="222"/>
      <c r="X71" s="213"/>
      <c r="Y71" s="229"/>
      <c r="Z71" s="214"/>
    </row>
    <row r="72" spans="1:26">
      <c r="A72" s="219">
        <v>4</v>
      </c>
      <c r="B72" s="122">
        <v>1</v>
      </c>
      <c r="C72" s="91" t="s">
        <v>100</v>
      </c>
      <c r="D72" s="36">
        <f>K72+180</f>
        <v>1120</v>
      </c>
      <c r="E72" s="102">
        <v>3</v>
      </c>
      <c r="F72" s="103">
        <f t="shared" ref="F72:F73" si="16">E72*51324</f>
        <v>153972</v>
      </c>
      <c r="G72" s="32">
        <v>4</v>
      </c>
      <c r="H72" s="37">
        <f t="shared" si="15"/>
        <v>211012</v>
      </c>
      <c r="I72" s="32"/>
      <c r="J72" s="32"/>
      <c r="K72" s="117">
        <v>940</v>
      </c>
      <c r="L72" s="105">
        <f>K72*1.05</f>
        <v>987</v>
      </c>
      <c r="M72" s="82"/>
      <c r="N72" s="81"/>
      <c r="O72" s="80"/>
      <c r="P72" s="80"/>
      <c r="Q72" s="61"/>
      <c r="R72" s="85"/>
      <c r="S72" s="96"/>
      <c r="T72" s="96"/>
      <c r="U72" s="96"/>
      <c r="V72" s="2"/>
      <c r="W72" s="6"/>
      <c r="X72" s="24"/>
      <c r="Y72" s="51"/>
      <c r="Z72" s="43"/>
    </row>
    <row r="73" spans="1:26" ht="37.5">
      <c r="A73" s="231">
        <v>5</v>
      </c>
      <c r="B73" s="122">
        <v>4</v>
      </c>
      <c r="C73" s="91" t="s">
        <v>101</v>
      </c>
      <c r="D73" s="36">
        <f>K73+180</f>
        <v>2980</v>
      </c>
      <c r="E73" s="116">
        <v>5</v>
      </c>
      <c r="F73" s="103">
        <f t="shared" si="16"/>
        <v>256620</v>
      </c>
      <c r="G73" s="35"/>
      <c r="H73" s="35"/>
      <c r="I73" s="35"/>
      <c r="J73" s="35"/>
      <c r="K73" s="116">
        <v>2800</v>
      </c>
      <c r="L73" s="105">
        <v>3044.877</v>
      </c>
      <c r="M73" s="76"/>
      <c r="N73" s="76"/>
      <c r="O73" s="80"/>
      <c r="P73" s="80"/>
      <c r="Q73" s="61"/>
      <c r="R73" s="85"/>
      <c r="S73" s="96"/>
      <c r="T73" s="96"/>
      <c r="U73" s="96"/>
      <c r="V73" s="30"/>
      <c r="W73" s="24"/>
      <c r="X73" s="24"/>
      <c r="Y73" s="51"/>
      <c r="Z73" s="43"/>
    </row>
    <row r="74" spans="1:26">
      <c r="A74" s="231">
        <v>6</v>
      </c>
      <c r="B74" s="174"/>
      <c r="C74" s="202" t="s">
        <v>188</v>
      </c>
      <c r="D74" s="203"/>
      <c r="E74" s="246"/>
      <c r="F74" s="221"/>
      <c r="G74" s="213"/>
      <c r="H74" s="213"/>
      <c r="I74" s="213"/>
      <c r="J74" s="213"/>
      <c r="K74" s="246"/>
      <c r="L74" s="224"/>
      <c r="M74" s="210"/>
      <c r="N74" s="210"/>
      <c r="O74" s="227"/>
      <c r="P74" s="227"/>
      <c r="Q74" s="208"/>
      <c r="R74" s="75"/>
      <c r="S74" s="228"/>
      <c r="T74" s="228"/>
      <c r="U74" s="228"/>
      <c r="V74" s="247"/>
      <c r="W74" s="213"/>
      <c r="X74" s="213"/>
      <c r="Y74" s="229"/>
      <c r="Z74" s="214"/>
    </row>
    <row r="75" spans="1:26">
      <c r="A75" s="17"/>
      <c r="B75" s="19">
        <f>SUM(B69:B74)</f>
        <v>11</v>
      </c>
      <c r="C75" s="18" t="s">
        <v>4</v>
      </c>
      <c r="D75" s="20">
        <f t="shared" ref="D75:L75" si="17">SUM(D69:D74)</f>
        <v>7715.2</v>
      </c>
      <c r="E75" s="20">
        <f t="shared" si="17"/>
        <v>16</v>
      </c>
      <c r="F75" s="74">
        <f t="shared" si="17"/>
        <v>821184</v>
      </c>
      <c r="G75" s="1">
        <f t="shared" si="17"/>
        <v>6</v>
      </c>
      <c r="H75" s="1">
        <f t="shared" si="17"/>
        <v>316518</v>
      </c>
      <c r="I75" s="1">
        <f t="shared" si="17"/>
        <v>2</v>
      </c>
      <c r="J75" s="1">
        <f t="shared" si="17"/>
        <v>93846</v>
      </c>
      <c r="K75" s="1">
        <f t="shared" si="17"/>
        <v>7036</v>
      </c>
      <c r="L75" s="74">
        <f t="shared" si="17"/>
        <v>7479.2970000000005</v>
      </c>
      <c r="M75" s="85"/>
      <c r="N75" s="21"/>
      <c r="O75" s="21"/>
      <c r="P75" s="21"/>
      <c r="Q75" s="20"/>
      <c r="R75" s="21"/>
      <c r="S75" s="95"/>
      <c r="T75" s="95"/>
      <c r="U75" s="95"/>
      <c r="V75" s="21"/>
      <c r="W75" s="21"/>
      <c r="X75" s="21"/>
      <c r="Y75" s="21"/>
      <c r="Z75" s="21"/>
    </row>
    <row r="76" spans="1:26">
      <c r="A76" s="410" t="s">
        <v>11</v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1"/>
      <c r="N76" s="411"/>
      <c r="O76" s="411"/>
      <c r="P76" s="411"/>
      <c r="Q76" s="411"/>
      <c r="R76" s="411"/>
      <c r="S76" s="411"/>
      <c r="T76" s="411"/>
      <c r="U76" s="411"/>
      <c r="V76" s="411"/>
      <c r="W76" s="39"/>
      <c r="X76" s="39"/>
      <c r="Y76" s="41"/>
      <c r="Z76" s="41"/>
    </row>
    <row r="77" spans="1:26" s="27" customFormat="1">
      <c r="A77" s="218">
        <v>1</v>
      </c>
      <c r="B77" s="106">
        <v>1</v>
      </c>
      <c r="C77" s="98" t="s">
        <v>104</v>
      </c>
      <c r="D77" s="36">
        <f>K77+120</f>
        <v>3705</v>
      </c>
      <c r="E77" s="102">
        <v>3</v>
      </c>
      <c r="F77" s="103">
        <f t="shared" ref="F77:F87" si="18">E77*51.324</f>
        <v>153.97199999999998</v>
      </c>
      <c r="G77" s="58">
        <v>3</v>
      </c>
      <c r="H77" s="37">
        <f t="shared" ref="H77" si="19">52753*G77</f>
        <v>158259</v>
      </c>
      <c r="I77" s="58"/>
      <c r="J77" s="37"/>
      <c r="K77" s="104">
        <v>3585</v>
      </c>
      <c r="L77" s="105">
        <f>K77*1.05</f>
        <v>3764.25</v>
      </c>
      <c r="M77" s="79"/>
      <c r="N77" s="81"/>
      <c r="O77" s="8"/>
      <c r="P77" s="8"/>
      <c r="Q77" s="63"/>
      <c r="R77" s="85"/>
      <c r="S77" s="88"/>
      <c r="T77" s="88"/>
      <c r="U77" s="88"/>
      <c r="V77" s="2"/>
      <c r="W77" s="8"/>
      <c r="X77" s="24"/>
      <c r="Y77" s="41"/>
      <c r="Z77" s="43"/>
    </row>
    <row r="78" spans="1:26" s="27" customFormat="1">
      <c r="A78" s="218">
        <v>2</v>
      </c>
      <c r="B78" s="106">
        <v>1</v>
      </c>
      <c r="C78" s="98" t="s">
        <v>105</v>
      </c>
      <c r="D78" s="36">
        <f t="shared" ref="D78:D96" si="20">K78+120</f>
        <v>3057</v>
      </c>
      <c r="E78" s="102">
        <v>3</v>
      </c>
      <c r="F78" s="103">
        <f t="shared" si="18"/>
        <v>153.97199999999998</v>
      </c>
      <c r="G78" s="58"/>
      <c r="H78" s="37"/>
      <c r="I78" s="58"/>
      <c r="J78" s="37"/>
      <c r="K78" s="104">
        <v>2937</v>
      </c>
      <c r="L78" s="105">
        <f>K78*1.05</f>
        <v>3083.85</v>
      </c>
      <c r="M78" s="79"/>
      <c r="N78" s="81"/>
      <c r="O78" s="8"/>
      <c r="P78" s="8"/>
      <c r="Q78" s="63"/>
      <c r="R78" s="85"/>
      <c r="S78" s="88"/>
      <c r="T78" s="88"/>
      <c r="U78" s="88"/>
      <c r="V78" s="2"/>
      <c r="W78" s="8"/>
      <c r="X78" s="24"/>
      <c r="Y78" s="41"/>
      <c r="Z78" s="43"/>
    </row>
    <row r="79" spans="1:26" s="27" customFormat="1">
      <c r="A79" s="218">
        <v>3</v>
      </c>
      <c r="B79" s="106">
        <v>1</v>
      </c>
      <c r="C79" s="98" t="s">
        <v>106</v>
      </c>
      <c r="D79" s="36">
        <f t="shared" si="20"/>
        <v>2990</v>
      </c>
      <c r="E79" s="102">
        <v>0</v>
      </c>
      <c r="F79" s="103">
        <f t="shared" si="18"/>
        <v>0</v>
      </c>
      <c r="G79" s="58"/>
      <c r="H79" s="37"/>
      <c r="I79" s="58"/>
      <c r="J79" s="37"/>
      <c r="K79" s="120">
        <v>2870</v>
      </c>
      <c r="L79" s="105">
        <f>K79*1.05</f>
        <v>3013.5</v>
      </c>
      <c r="M79" s="79"/>
      <c r="N79" s="81"/>
      <c r="O79" s="8"/>
      <c r="P79" s="8"/>
      <c r="Q79" s="63"/>
      <c r="R79" s="85"/>
      <c r="S79" s="88"/>
      <c r="T79" s="88"/>
      <c r="U79" s="88"/>
      <c r="V79" s="2"/>
      <c r="W79" s="8"/>
      <c r="X79" s="24"/>
      <c r="Y79" s="41"/>
      <c r="Z79" s="43"/>
    </row>
    <row r="80" spans="1:26" s="27" customFormat="1" ht="37.5">
      <c r="A80" s="218">
        <v>4</v>
      </c>
      <c r="B80" s="118">
        <v>3</v>
      </c>
      <c r="C80" s="98" t="s">
        <v>107</v>
      </c>
      <c r="D80" s="36">
        <f t="shared" si="20"/>
        <v>4707</v>
      </c>
      <c r="E80" s="102"/>
      <c r="F80" s="103">
        <f t="shared" si="18"/>
        <v>0</v>
      </c>
      <c r="G80" s="58"/>
      <c r="H80" s="37"/>
      <c r="I80" s="58"/>
      <c r="J80" s="37"/>
      <c r="K80" s="120">
        <v>4587</v>
      </c>
      <c r="L80" s="105">
        <f>K80*1.05</f>
        <v>4816.3500000000004</v>
      </c>
      <c r="M80" s="79"/>
      <c r="N80" s="81"/>
      <c r="O80" s="8"/>
      <c r="P80" s="8"/>
      <c r="Q80" s="63"/>
      <c r="R80" s="85"/>
      <c r="S80" s="88"/>
      <c r="T80" s="88"/>
      <c r="U80" s="88"/>
      <c r="V80" s="2"/>
      <c r="W80" s="8"/>
      <c r="X80" s="24"/>
      <c r="Y80" s="41"/>
      <c r="Z80" s="43"/>
    </row>
    <row r="81" spans="1:26" s="27" customFormat="1">
      <c r="A81" s="218">
        <v>5</v>
      </c>
      <c r="B81" s="106">
        <v>1</v>
      </c>
      <c r="C81" s="98" t="s">
        <v>108</v>
      </c>
      <c r="D81" s="36">
        <f t="shared" si="20"/>
        <v>6390</v>
      </c>
      <c r="E81" s="102">
        <v>0</v>
      </c>
      <c r="F81" s="103">
        <f t="shared" si="18"/>
        <v>0</v>
      </c>
      <c r="G81" s="58"/>
      <c r="H81" s="37"/>
      <c r="I81" s="58"/>
      <c r="J81" s="37"/>
      <c r="K81" s="120">
        <v>6270</v>
      </c>
      <c r="L81" s="105">
        <f>K81*1.05</f>
        <v>6583.5</v>
      </c>
      <c r="M81" s="79"/>
      <c r="N81" s="81"/>
      <c r="O81" s="8"/>
      <c r="P81" s="8"/>
      <c r="Q81" s="63"/>
      <c r="R81" s="85"/>
      <c r="S81" s="88"/>
      <c r="T81" s="88"/>
      <c r="U81" s="88"/>
      <c r="V81" s="2"/>
      <c r="W81" s="8"/>
      <c r="X81" s="24"/>
      <c r="Y81" s="41"/>
      <c r="Z81" s="43"/>
    </row>
    <row r="82" spans="1:26" s="27" customFormat="1" ht="37.5">
      <c r="A82" s="200">
        <v>6</v>
      </c>
      <c r="B82" s="106">
        <v>2</v>
      </c>
      <c r="C82" s="98" t="s">
        <v>124</v>
      </c>
      <c r="D82" s="36">
        <f>K82+120</f>
        <v>4489</v>
      </c>
      <c r="E82" s="102">
        <v>6</v>
      </c>
      <c r="F82" s="103">
        <f>E82*51.324</f>
        <v>307.94399999999996</v>
      </c>
      <c r="G82" s="58"/>
      <c r="H82" s="37"/>
      <c r="I82" s="58"/>
      <c r="J82" s="37"/>
      <c r="K82" s="120">
        <v>4369</v>
      </c>
      <c r="L82" s="105">
        <f>K82*1.02</f>
        <v>4456.38</v>
      </c>
      <c r="M82" s="79"/>
      <c r="N82" s="81"/>
      <c r="O82" s="8"/>
      <c r="P82" s="8"/>
      <c r="Q82" s="63"/>
      <c r="R82" s="85"/>
      <c r="S82" s="88"/>
      <c r="T82" s="88"/>
      <c r="U82" s="88"/>
      <c r="V82" s="2"/>
      <c r="W82" s="8"/>
      <c r="X82" s="24"/>
      <c r="Y82" s="41"/>
      <c r="Z82" s="43"/>
    </row>
    <row r="83" spans="1:26" s="27" customFormat="1" ht="37.5">
      <c r="A83" s="200">
        <v>7</v>
      </c>
      <c r="B83" s="106">
        <v>2</v>
      </c>
      <c r="C83" s="98" t="s">
        <v>109</v>
      </c>
      <c r="D83" s="36">
        <f t="shared" si="20"/>
        <v>2082</v>
      </c>
      <c r="E83" s="102">
        <v>0</v>
      </c>
      <c r="F83" s="103">
        <f t="shared" si="18"/>
        <v>0</v>
      </c>
      <c r="G83" s="58"/>
      <c r="H83" s="37"/>
      <c r="I83" s="58"/>
      <c r="J83" s="37"/>
      <c r="K83" s="120">
        <v>1962</v>
      </c>
      <c r="L83" s="105">
        <f t="shared" ref="L83:L92" si="21">K83*1.11</f>
        <v>2177.8200000000002</v>
      </c>
      <c r="M83" s="79"/>
      <c r="N83" s="81"/>
      <c r="O83" s="8"/>
      <c r="P83" s="8"/>
      <c r="Q83" s="63"/>
      <c r="R83" s="85"/>
      <c r="S83" s="88"/>
      <c r="T83" s="88"/>
      <c r="U83" s="88"/>
      <c r="V83" s="2"/>
      <c r="W83" s="8"/>
      <c r="X83" s="24"/>
      <c r="Y83" s="41"/>
      <c r="Z83" s="43"/>
    </row>
    <row r="84" spans="1:26" s="27" customFormat="1">
      <c r="A84" s="200">
        <v>8</v>
      </c>
      <c r="B84" s="106">
        <v>1</v>
      </c>
      <c r="C84" s="98" t="s">
        <v>110</v>
      </c>
      <c r="D84" s="36">
        <f t="shared" si="20"/>
        <v>782</v>
      </c>
      <c r="E84" s="102">
        <v>0</v>
      </c>
      <c r="F84" s="103">
        <f t="shared" si="18"/>
        <v>0</v>
      </c>
      <c r="G84" s="58"/>
      <c r="H84" s="37"/>
      <c r="I84" s="58"/>
      <c r="J84" s="37"/>
      <c r="K84" s="120">
        <v>662</v>
      </c>
      <c r="L84" s="105">
        <f t="shared" si="21"/>
        <v>734.82</v>
      </c>
      <c r="M84" s="79"/>
      <c r="N84" s="81"/>
      <c r="O84" s="8"/>
      <c r="P84" s="8"/>
      <c r="Q84" s="63"/>
      <c r="R84" s="85"/>
      <c r="S84" s="88"/>
      <c r="T84" s="88"/>
      <c r="U84" s="88"/>
      <c r="V84" s="2"/>
      <c r="W84" s="8"/>
      <c r="X84" s="24"/>
      <c r="Y84" s="41"/>
      <c r="Z84" s="43"/>
    </row>
    <row r="85" spans="1:26" s="27" customFormat="1">
      <c r="A85" s="200">
        <v>9</v>
      </c>
      <c r="B85" s="163">
        <v>2</v>
      </c>
      <c r="C85" s="232" t="s">
        <v>225</v>
      </c>
      <c r="D85" s="203"/>
      <c r="E85" s="220"/>
      <c r="F85" s="221"/>
      <c r="G85" s="244"/>
      <c r="H85" s="205"/>
      <c r="I85" s="244"/>
      <c r="J85" s="205"/>
      <c r="K85" s="245"/>
      <c r="L85" s="224"/>
      <c r="M85" s="243"/>
      <c r="N85" s="209"/>
      <c r="O85" s="244"/>
      <c r="P85" s="244"/>
      <c r="Q85" s="214"/>
      <c r="R85" s="75"/>
      <c r="S85" s="228"/>
      <c r="T85" s="228"/>
      <c r="U85" s="228"/>
      <c r="V85" s="212"/>
      <c r="W85" s="244"/>
      <c r="X85" s="213"/>
      <c r="Y85" s="238"/>
      <c r="Z85" s="214"/>
    </row>
    <row r="86" spans="1:26" s="27" customFormat="1">
      <c r="A86" s="200">
        <v>10</v>
      </c>
      <c r="B86" s="106">
        <v>1</v>
      </c>
      <c r="C86" s="98" t="s">
        <v>111</v>
      </c>
      <c r="D86" s="36">
        <f t="shared" si="20"/>
        <v>2202</v>
      </c>
      <c r="E86" s="102">
        <v>0</v>
      </c>
      <c r="F86" s="103">
        <f t="shared" si="18"/>
        <v>0</v>
      </c>
      <c r="G86" s="58"/>
      <c r="H86" s="37"/>
      <c r="I86" s="58"/>
      <c r="J86" s="37"/>
      <c r="K86" s="120">
        <v>2082</v>
      </c>
      <c r="L86" s="105">
        <f t="shared" si="21"/>
        <v>2311.02</v>
      </c>
      <c r="M86" s="79"/>
      <c r="N86" s="81"/>
      <c r="O86" s="8"/>
      <c r="P86" s="8"/>
      <c r="Q86" s="63"/>
      <c r="R86" s="85"/>
      <c r="S86" s="88"/>
      <c r="T86" s="88"/>
      <c r="U86" s="88"/>
      <c r="V86" s="2"/>
      <c r="W86" s="8"/>
      <c r="X86" s="24"/>
      <c r="Y86" s="41"/>
      <c r="Z86" s="43"/>
    </row>
    <row r="87" spans="1:26" s="27" customFormat="1">
      <c r="A87" s="200">
        <v>11</v>
      </c>
      <c r="B87" s="106">
        <v>3</v>
      </c>
      <c r="C87" s="98" t="s">
        <v>112</v>
      </c>
      <c r="D87" s="36">
        <f t="shared" si="20"/>
        <v>6402</v>
      </c>
      <c r="E87" s="102">
        <v>2</v>
      </c>
      <c r="F87" s="103">
        <f t="shared" si="18"/>
        <v>102.648</v>
      </c>
      <c r="G87" s="58"/>
      <c r="H87" s="37"/>
      <c r="I87" s="58"/>
      <c r="J87" s="37"/>
      <c r="K87" s="120">
        <v>6282</v>
      </c>
      <c r="L87" s="105">
        <f t="shared" si="21"/>
        <v>6973.02</v>
      </c>
      <c r="M87" s="79"/>
      <c r="N87" s="81"/>
      <c r="O87" s="8"/>
      <c r="P87" s="8"/>
      <c r="Q87" s="63"/>
      <c r="R87" s="85"/>
      <c r="S87" s="88"/>
      <c r="T87" s="88"/>
      <c r="U87" s="88"/>
      <c r="V87" s="2"/>
      <c r="W87" s="8"/>
      <c r="X87" s="24"/>
      <c r="Y87" s="41"/>
      <c r="Z87" s="43"/>
    </row>
    <row r="88" spans="1:26" s="27" customFormat="1" ht="37.5">
      <c r="A88" s="200">
        <v>12</v>
      </c>
      <c r="B88" s="106">
        <v>1</v>
      </c>
      <c r="C88" s="98" t="s">
        <v>113</v>
      </c>
      <c r="D88" s="36">
        <f t="shared" si="20"/>
        <v>2107</v>
      </c>
      <c r="E88" s="102">
        <v>0</v>
      </c>
      <c r="F88" s="103">
        <f>E88*51.324</f>
        <v>0</v>
      </c>
      <c r="G88" s="58"/>
      <c r="H88" s="37"/>
      <c r="I88" s="58"/>
      <c r="J88" s="37"/>
      <c r="K88" s="120">
        <v>1987</v>
      </c>
      <c r="L88" s="105">
        <f t="shared" si="21"/>
        <v>2205.5700000000002</v>
      </c>
      <c r="M88" s="79"/>
      <c r="N88" s="81"/>
      <c r="O88" s="8"/>
      <c r="P88" s="8"/>
      <c r="Q88" s="63"/>
      <c r="R88" s="85"/>
      <c r="S88" s="88"/>
      <c r="T88" s="88"/>
      <c r="U88" s="88"/>
      <c r="V88" s="2"/>
      <c r="W88" s="8"/>
      <c r="X88" s="24"/>
      <c r="Y88" s="41"/>
      <c r="Z88" s="43"/>
    </row>
    <row r="89" spans="1:26" s="27" customFormat="1">
      <c r="A89" s="200">
        <v>13</v>
      </c>
      <c r="B89" s="163">
        <v>1</v>
      </c>
      <c r="C89" s="232" t="s">
        <v>187</v>
      </c>
      <c r="D89" s="203"/>
      <c r="E89" s="220"/>
      <c r="F89" s="221"/>
      <c r="G89" s="244"/>
      <c r="H89" s="205"/>
      <c r="I89" s="244"/>
      <c r="J89" s="205"/>
      <c r="K89" s="245"/>
      <c r="L89" s="224"/>
      <c r="M89" s="243"/>
      <c r="N89" s="209"/>
      <c r="O89" s="244"/>
      <c r="P89" s="244"/>
      <c r="Q89" s="214"/>
      <c r="R89" s="75"/>
      <c r="S89" s="228"/>
      <c r="T89" s="228"/>
      <c r="U89" s="228"/>
      <c r="V89" s="212"/>
      <c r="W89" s="244"/>
      <c r="X89" s="213"/>
      <c r="Y89" s="238"/>
      <c r="Z89" s="214"/>
    </row>
    <row r="90" spans="1:26" s="27" customFormat="1">
      <c r="A90" s="200">
        <v>14</v>
      </c>
      <c r="B90" s="106">
        <v>1</v>
      </c>
      <c r="C90" s="98" t="s">
        <v>114</v>
      </c>
      <c r="D90" s="36">
        <f t="shared" si="20"/>
        <v>1800</v>
      </c>
      <c r="E90" s="102">
        <v>0</v>
      </c>
      <c r="F90" s="103">
        <f>E90*51.324</f>
        <v>0</v>
      </c>
      <c r="G90" s="58"/>
      <c r="H90" s="37"/>
      <c r="I90" s="58"/>
      <c r="J90" s="37"/>
      <c r="K90" s="120">
        <v>1680</v>
      </c>
      <c r="L90" s="105">
        <f t="shared" si="21"/>
        <v>1864.8000000000002</v>
      </c>
      <c r="M90" s="79"/>
      <c r="N90" s="81"/>
      <c r="O90" s="8"/>
      <c r="P90" s="8"/>
      <c r="Q90" s="63"/>
      <c r="R90" s="85"/>
      <c r="S90" s="88"/>
      <c r="T90" s="88"/>
      <c r="U90" s="88"/>
      <c r="V90" s="2"/>
      <c r="W90" s="8"/>
      <c r="X90" s="24"/>
      <c r="Y90" s="41"/>
      <c r="Z90" s="43"/>
    </row>
    <row r="91" spans="1:26" s="27" customFormat="1">
      <c r="A91" s="200">
        <v>15</v>
      </c>
      <c r="B91" s="106">
        <v>1</v>
      </c>
      <c r="C91" s="98" t="s">
        <v>115</v>
      </c>
      <c r="D91" s="36">
        <f t="shared" si="20"/>
        <v>4955</v>
      </c>
      <c r="E91" s="102">
        <v>2</v>
      </c>
      <c r="F91" s="103">
        <f t="shared" ref="F91:F92" si="22">E91*51.324</f>
        <v>102.648</v>
      </c>
      <c r="G91" s="58"/>
      <c r="H91" s="37"/>
      <c r="I91" s="58"/>
      <c r="J91" s="37"/>
      <c r="K91" s="120">
        <v>4835</v>
      </c>
      <c r="L91" s="105">
        <f t="shared" si="21"/>
        <v>5366.85</v>
      </c>
      <c r="M91" s="79"/>
      <c r="N91" s="81"/>
      <c r="O91" s="8"/>
      <c r="P91" s="8"/>
      <c r="Q91" s="63"/>
      <c r="R91" s="85"/>
      <c r="S91" s="88"/>
      <c r="T91" s="88"/>
      <c r="U91" s="88"/>
      <c r="V91" s="2"/>
      <c r="W91" s="8"/>
      <c r="X91" s="24"/>
      <c r="Y91" s="41"/>
      <c r="Z91" s="43"/>
    </row>
    <row r="92" spans="1:26" s="27" customFormat="1">
      <c r="A92" s="200">
        <v>16</v>
      </c>
      <c r="B92" s="106">
        <v>1</v>
      </c>
      <c r="C92" s="98" t="s">
        <v>116</v>
      </c>
      <c r="D92" s="36">
        <f t="shared" si="20"/>
        <v>3650</v>
      </c>
      <c r="E92" s="102">
        <v>0</v>
      </c>
      <c r="F92" s="103">
        <f t="shared" si="22"/>
        <v>0</v>
      </c>
      <c r="G92" s="58"/>
      <c r="H92" s="37"/>
      <c r="I92" s="58"/>
      <c r="J92" s="37"/>
      <c r="K92" s="120">
        <v>3530</v>
      </c>
      <c r="L92" s="105">
        <f t="shared" si="21"/>
        <v>3918.3</v>
      </c>
      <c r="M92" s="79"/>
      <c r="N92" s="81"/>
      <c r="O92" s="8"/>
      <c r="P92" s="8"/>
      <c r="Q92" s="63"/>
      <c r="R92" s="85"/>
      <c r="S92" s="88"/>
      <c r="T92" s="88"/>
      <c r="U92" s="88"/>
      <c r="V92" s="2"/>
      <c r="W92" s="8"/>
      <c r="X92" s="24"/>
      <c r="Y92" s="41"/>
      <c r="Z92" s="43"/>
    </row>
    <row r="93" spans="1:26" s="27" customFormat="1">
      <c r="A93" s="200">
        <v>17</v>
      </c>
      <c r="B93" s="106">
        <v>2</v>
      </c>
      <c r="C93" s="98" t="s">
        <v>125</v>
      </c>
      <c r="D93" s="36">
        <f t="shared" si="20"/>
        <v>6609.6</v>
      </c>
      <c r="E93" s="102">
        <v>6</v>
      </c>
      <c r="F93" s="103">
        <f>E93*51.324</f>
        <v>307.94399999999996</v>
      </c>
      <c r="G93" s="58"/>
      <c r="H93" s="37"/>
      <c r="I93" s="58"/>
      <c r="J93" s="37"/>
      <c r="K93" s="120">
        <v>6489.6</v>
      </c>
      <c r="L93" s="105">
        <f>K93*1.02</f>
        <v>6619.3920000000007</v>
      </c>
      <c r="M93" s="79"/>
      <c r="N93" s="81"/>
      <c r="O93" s="8"/>
      <c r="P93" s="8"/>
      <c r="Q93" s="63"/>
      <c r="R93" s="85"/>
      <c r="S93" s="88"/>
      <c r="T93" s="88"/>
      <c r="U93" s="88"/>
      <c r="V93" s="2"/>
      <c r="W93" s="8"/>
      <c r="X93" s="24"/>
      <c r="Y93" s="41"/>
      <c r="Z93" s="43"/>
    </row>
    <row r="94" spans="1:26" s="27" customFormat="1">
      <c r="A94" s="200">
        <v>18</v>
      </c>
      <c r="B94" s="106">
        <v>2</v>
      </c>
      <c r="C94" s="98" t="s">
        <v>126</v>
      </c>
      <c r="D94" s="36">
        <f t="shared" si="20"/>
        <v>4066</v>
      </c>
      <c r="E94" s="102">
        <v>3</v>
      </c>
      <c r="F94" s="103">
        <f>E94*51.324</f>
        <v>153.97199999999998</v>
      </c>
      <c r="G94" s="58"/>
      <c r="H94" s="37"/>
      <c r="I94" s="58"/>
      <c r="J94" s="37"/>
      <c r="K94" s="120">
        <v>3946</v>
      </c>
      <c r="L94" s="105">
        <f>K94*1.02</f>
        <v>4024.92</v>
      </c>
      <c r="M94" s="79"/>
      <c r="N94" s="81"/>
      <c r="O94" s="8"/>
      <c r="P94" s="8"/>
      <c r="Q94" s="63"/>
      <c r="R94" s="85"/>
      <c r="S94" s="88"/>
      <c r="T94" s="88"/>
      <c r="U94" s="88"/>
      <c r="V94" s="2"/>
      <c r="W94" s="8"/>
      <c r="X94" s="24"/>
      <c r="Y94" s="41"/>
      <c r="Z94" s="43"/>
    </row>
    <row r="95" spans="1:26" s="27" customFormat="1">
      <c r="A95" s="200">
        <v>19</v>
      </c>
      <c r="B95" s="119">
        <v>3</v>
      </c>
      <c r="C95" s="116" t="s">
        <v>127</v>
      </c>
      <c r="D95" s="36">
        <f t="shared" si="20"/>
        <v>6912</v>
      </c>
      <c r="E95" s="102">
        <v>0</v>
      </c>
      <c r="F95" s="103">
        <f t="shared" ref="F95:F96" si="23">E95*51.324</f>
        <v>0</v>
      </c>
      <c r="G95" s="58"/>
      <c r="H95" s="37"/>
      <c r="I95" s="58"/>
      <c r="J95" s="37"/>
      <c r="K95" s="121">
        <v>6792</v>
      </c>
      <c r="L95" s="105">
        <f>K95*1.11</f>
        <v>7539.1200000000008</v>
      </c>
      <c r="M95" s="79"/>
      <c r="N95" s="81"/>
      <c r="O95" s="8"/>
      <c r="P95" s="8"/>
      <c r="Q95" s="63"/>
      <c r="R95" s="85"/>
      <c r="S95" s="88"/>
      <c r="T95" s="88"/>
      <c r="U95" s="88"/>
      <c r="V95" s="2"/>
      <c r="W95" s="8"/>
      <c r="X95" s="24"/>
      <c r="Y95" s="41"/>
      <c r="Z95" s="43"/>
    </row>
    <row r="96" spans="1:26" s="27" customFormat="1">
      <c r="A96" s="200">
        <v>20</v>
      </c>
      <c r="B96" s="106">
        <v>1</v>
      </c>
      <c r="C96" s="98" t="s">
        <v>128</v>
      </c>
      <c r="D96" s="36">
        <f t="shared" si="20"/>
        <v>4955</v>
      </c>
      <c r="E96" s="102">
        <v>2</v>
      </c>
      <c r="F96" s="103">
        <f t="shared" si="23"/>
        <v>102.648</v>
      </c>
      <c r="G96" s="58"/>
      <c r="H96" s="37"/>
      <c r="I96" s="58"/>
      <c r="J96" s="37"/>
      <c r="K96" s="121">
        <v>4835</v>
      </c>
      <c r="L96" s="105">
        <f>K96*1.11</f>
        <v>5366.85</v>
      </c>
      <c r="M96" s="79"/>
      <c r="N96" s="81"/>
      <c r="O96" s="8"/>
      <c r="P96" s="8"/>
      <c r="Q96" s="63"/>
      <c r="R96" s="85"/>
      <c r="S96" s="88"/>
      <c r="T96" s="88"/>
      <c r="U96" s="88"/>
      <c r="V96" s="2"/>
      <c r="W96" s="8"/>
      <c r="X96" s="24"/>
      <c r="Y96" s="41"/>
      <c r="Z96" s="43"/>
    </row>
    <row r="97" spans="1:26">
      <c r="A97" s="17"/>
      <c r="B97" s="19">
        <f>SUM(B77:B96)</f>
        <v>31</v>
      </c>
      <c r="C97" s="18" t="s">
        <v>4</v>
      </c>
      <c r="D97" s="20">
        <f t="shared" ref="D97:L97" si="24">SUM(D77:D96)</f>
        <v>71860.600000000006</v>
      </c>
      <c r="E97" s="20">
        <f t="shared" si="24"/>
        <v>27</v>
      </c>
      <c r="F97" s="74">
        <f t="shared" si="24"/>
        <v>1385.7479999999998</v>
      </c>
      <c r="G97" s="1">
        <f t="shared" si="24"/>
        <v>3</v>
      </c>
      <c r="H97" s="1">
        <f t="shared" si="24"/>
        <v>158259</v>
      </c>
      <c r="I97" s="1">
        <f t="shared" si="24"/>
        <v>0</v>
      </c>
      <c r="J97" s="1">
        <f t="shared" si="24"/>
        <v>0</v>
      </c>
      <c r="K97" s="1">
        <f t="shared" si="24"/>
        <v>69700.600000000006</v>
      </c>
      <c r="L97" s="74">
        <f t="shared" si="24"/>
        <v>74820.312000000005</v>
      </c>
      <c r="M97" s="21"/>
      <c r="N97" s="21"/>
      <c r="O97" s="20"/>
      <c r="P97" s="20"/>
      <c r="Q97" s="20"/>
      <c r="R97" s="230"/>
      <c r="S97" s="95"/>
      <c r="T97" s="95"/>
      <c r="U97" s="95"/>
      <c r="V97" s="94"/>
      <c r="W97" s="21"/>
      <c r="X97" s="21"/>
      <c r="Y97" s="21"/>
      <c r="Z97" s="21"/>
    </row>
    <row r="98" spans="1:26">
      <c r="A98" s="410" t="s">
        <v>14</v>
      </c>
      <c r="B98" s="411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0"/>
      <c r="X98" s="40"/>
      <c r="Y98" s="41"/>
      <c r="Z98" s="41"/>
    </row>
    <row r="99" spans="1:26" s="27" customFormat="1">
      <c r="A99" s="218">
        <v>1</v>
      </c>
      <c r="B99" s="124">
        <v>1</v>
      </c>
      <c r="C99" s="98" t="s">
        <v>129</v>
      </c>
      <c r="D99" s="36">
        <f>K99</f>
        <v>1590</v>
      </c>
      <c r="E99" s="102">
        <v>3</v>
      </c>
      <c r="F99" s="103">
        <f t="shared" ref="F99:F104" si="25">E99*51.324</f>
        <v>153.97199999999998</v>
      </c>
      <c r="G99" s="34"/>
      <c r="H99" s="34"/>
      <c r="I99" s="34"/>
      <c r="J99" s="34"/>
      <c r="K99" s="104">
        <v>1590</v>
      </c>
      <c r="L99" s="105">
        <f>K99*1.05</f>
        <v>1669.5</v>
      </c>
      <c r="M99" s="83"/>
      <c r="N99" s="83"/>
      <c r="O99" s="7"/>
      <c r="P99" s="7"/>
      <c r="Q99" s="7"/>
      <c r="R99" s="85"/>
      <c r="S99" s="88"/>
      <c r="T99" s="88"/>
      <c r="U99" s="88"/>
      <c r="V99" s="2"/>
      <c r="W99" s="46"/>
      <c r="X99" s="24"/>
      <c r="Y99" s="51"/>
      <c r="Z99" s="43"/>
    </row>
    <row r="100" spans="1:26" s="27" customFormat="1" ht="37.5">
      <c r="A100" s="218">
        <v>2</v>
      </c>
      <c r="B100" s="124">
        <v>4</v>
      </c>
      <c r="C100" s="98" t="s">
        <v>130</v>
      </c>
      <c r="D100" s="36">
        <f t="shared" ref="D100:D104" si="26">K100</f>
        <v>4759</v>
      </c>
      <c r="E100" s="102">
        <v>4</v>
      </c>
      <c r="F100" s="103">
        <f t="shared" si="25"/>
        <v>205.29599999999999</v>
      </c>
      <c r="G100" s="34"/>
      <c r="H100" s="34"/>
      <c r="I100" s="34"/>
      <c r="J100" s="34"/>
      <c r="K100" s="104">
        <v>4759</v>
      </c>
      <c r="L100" s="105">
        <f>K100*1.05</f>
        <v>4996.95</v>
      </c>
      <c r="M100" s="83"/>
      <c r="N100" s="83"/>
      <c r="O100" s="7"/>
      <c r="P100" s="7"/>
      <c r="Q100" s="7"/>
      <c r="R100" s="85"/>
      <c r="S100" s="88"/>
      <c r="T100" s="88"/>
      <c r="U100" s="88"/>
      <c r="V100" s="2"/>
      <c r="W100" s="46"/>
      <c r="X100" s="24"/>
      <c r="Y100" s="51"/>
      <c r="Z100" s="43"/>
    </row>
    <row r="101" spans="1:26" s="27" customFormat="1">
      <c r="A101" s="218">
        <v>3</v>
      </c>
      <c r="B101" s="239">
        <v>2</v>
      </c>
      <c r="C101" s="232" t="s">
        <v>224</v>
      </c>
      <c r="D101" s="203"/>
      <c r="E101" s="220"/>
      <c r="F101" s="221"/>
      <c r="G101" s="240"/>
      <c r="H101" s="240"/>
      <c r="I101" s="240"/>
      <c r="J101" s="240"/>
      <c r="K101" s="223"/>
      <c r="L101" s="224"/>
      <c r="M101" s="226"/>
      <c r="N101" s="226"/>
      <c r="O101" s="236"/>
      <c r="P101" s="236"/>
      <c r="Q101" s="236"/>
      <c r="R101" s="75"/>
      <c r="S101" s="228"/>
      <c r="T101" s="228"/>
      <c r="U101" s="228"/>
      <c r="V101" s="212"/>
      <c r="W101" s="241"/>
      <c r="X101" s="213"/>
      <c r="Y101" s="229"/>
      <c r="Z101" s="214"/>
    </row>
    <row r="102" spans="1:26" s="27" customFormat="1" ht="37.5">
      <c r="A102" s="200">
        <v>4</v>
      </c>
      <c r="B102" s="124">
        <v>2</v>
      </c>
      <c r="C102" s="98" t="s">
        <v>131</v>
      </c>
      <c r="D102" s="36">
        <f t="shared" si="26"/>
        <v>3064</v>
      </c>
      <c r="E102" s="102">
        <v>4</v>
      </c>
      <c r="F102" s="103">
        <f t="shared" si="25"/>
        <v>205.29599999999999</v>
      </c>
      <c r="G102" s="34"/>
      <c r="H102" s="34"/>
      <c r="I102" s="34"/>
      <c r="J102" s="34"/>
      <c r="K102" s="104">
        <v>3064</v>
      </c>
      <c r="L102" s="105">
        <f>K102*1.02</f>
        <v>3125.28</v>
      </c>
      <c r="M102" s="83"/>
      <c r="N102" s="83"/>
      <c r="O102" s="7"/>
      <c r="P102" s="7"/>
      <c r="Q102" s="7"/>
      <c r="R102" s="85"/>
      <c r="S102" s="88"/>
      <c r="T102" s="88"/>
      <c r="U102" s="88"/>
      <c r="V102" s="2"/>
      <c r="W102" s="46"/>
      <c r="X102" s="24"/>
      <c r="Y102" s="51"/>
      <c r="Z102" s="43"/>
    </row>
    <row r="103" spans="1:26" s="27" customFormat="1" ht="37.5">
      <c r="A103" s="200">
        <v>5</v>
      </c>
      <c r="B103" s="124">
        <v>2</v>
      </c>
      <c r="C103" s="98" t="s">
        <v>132</v>
      </c>
      <c r="D103" s="36">
        <f t="shared" si="26"/>
        <v>5482</v>
      </c>
      <c r="E103" s="102">
        <v>2</v>
      </c>
      <c r="F103" s="103">
        <f t="shared" si="25"/>
        <v>102.648</v>
      </c>
      <c r="G103" s="34"/>
      <c r="H103" s="34"/>
      <c r="I103" s="34"/>
      <c r="J103" s="34"/>
      <c r="K103" s="104">
        <v>5482</v>
      </c>
      <c r="L103" s="105">
        <f>K103*1.02</f>
        <v>5591.64</v>
      </c>
      <c r="M103" s="83"/>
      <c r="N103" s="83"/>
      <c r="O103" s="7"/>
      <c r="P103" s="7"/>
      <c r="Q103" s="7"/>
      <c r="R103" s="85"/>
      <c r="S103" s="88"/>
      <c r="T103" s="88"/>
      <c r="U103" s="88"/>
      <c r="V103" s="2"/>
      <c r="W103" s="46"/>
      <c r="X103" s="24"/>
      <c r="Y103" s="51"/>
      <c r="Z103" s="43"/>
    </row>
    <row r="104" spans="1:26" s="27" customFormat="1" ht="56.25">
      <c r="A104" s="200">
        <v>6</v>
      </c>
      <c r="B104" s="124">
        <v>6</v>
      </c>
      <c r="C104" s="98" t="s">
        <v>133</v>
      </c>
      <c r="D104" s="36">
        <f t="shared" si="26"/>
        <v>2160</v>
      </c>
      <c r="E104" s="102">
        <v>4</v>
      </c>
      <c r="F104" s="103">
        <f t="shared" si="25"/>
        <v>205.29599999999999</v>
      </c>
      <c r="G104" s="34"/>
      <c r="H104" s="34"/>
      <c r="I104" s="34"/>
      <c r="J104" s="34"/>
      <c r="K104" s="104">
        <v>2160</v>
      </c>
      <c r="L104" s="105">
        <f>K104*1.11</f>
        <v>2397.6000000000004</v>
      </c>
      <c r="M104" s="83"/>
      <c r="N104" s="83"/>
      <c r="O104" s="7"/>
      <c r="P104" s="7"/>
      <c r="Q104" s="7"/>
      <c r="R104" s="85"/>
      <c r="S104" s="88"/>
      <c r="T104" s="88"/>
      <c r="U104" s="88"/>
      <c r="V104" s="2"/>
      <c r="W104" s="46"/>
      <c r="X104" s="24"/>
      <c r="Y104" s="51"/>
      <c r="Z104" s="43"/>
    </row>
    <row r="105" spans="1:26" s="27" customFormat="1">
      <c r="A105" s="200">
        <v>7</v>
      </c>
      <c r="B105" s="239">
        <v>1</v>
      </c>
      <c r="C105" s="232" t="s">
        <v>227</v>
      </c>
      <c r="D105" s="203"/>
      <c r="E105" s="220"/>
      <c r="F105" s="221"/>
      <c r="G105" s="240"/>
      <c r="H105" s="240"/>
      <c r="I105" s="240"/>
      <c r="J105" s="240"/>
      <c r="K105" s="223"/>
      <c r="L105" s="224"/>
      <c r="M105" s="226"/>
      <c r="N105" s="226"/>
      <c r="O105" s="236"/>
      <c r="P105" s="236"/>
      <c r="Q105" s="236"/>
      <c r="R105" s="75"/>
      <c r="S105" s="228"/>
      <c r="T105" s="228"/>
      <c r="U105" s="228"/>
      <c r="V105" s="212"/>
      <c r="W105" s="241"/>
      <c r="X105" s="213"/>
      <c r="Y105" s="229"/>
      <c r="Z105" s="214"/>
    </row>
    <row r="106" spans="1:26">
      <c r="A106" s="17"/>
      <c r="B106" s="19">
        <f>SUM(B99:B105)</f>
        <v>18</v>
      </c>
      <c r="C106" s="18" t="s">
        <v>4</v>
      </c>
      <c r="D106" s="20">
        <f t="shared" ref="D106:L106" si="27">SUM(D99:D105)</f>
        <v>17055</v>
      </c>
      <c r="E106" s="20">
        <f t="shared" si="27"/>
        <v>17</v>
      </c>
      <c r="F106" s="74">
        <f t="shared" si="27"/>
        <v>872.50800000000004</v>
      </c>
      <c r="G106" s="1">
        <f t="shared" si="27"/>
        <v>0</v>
      </c>
      <c r="H106" s="1">
        <f t="shared" si="27"/>
        <v>0</v>
      </c>
      <c r="I106" s="1">
        <f t="shared" si="27"/>
        <v>0</v>
      </c>
      <c r="J106" s="1">
        <f t="shared" si="27"/>
        <v>0</v>
      </c>
      <c r="K106" s="1">
        <f t="shared" si="27"/>
        <v>17055</v>
      </c>
      <c r="L106" s="74">
        <f t="shared" si="27"/>
        <v>17780.97</v>
      </c>
      <c r="M106" s="21"/>
      <c r="N106" s="21"/>
      <c r="O106" s="20"/>
      <c r="P106" s="20"/>
      <c r="Q106" s="20"/>
      <c r="R106" s="21"/>
      <c r="S106" s="95"/>
      <c r="T106" s="95"/>
      <c r="U106" s="95"/>
      <c r="V106" s="21"/>
      <c r="W106" s="21"/>
      <c r="X106" s="21"/>
      <c r="Y106" s="21"/>
      <c r="Z106" s="21"/>
    </row>
    <row r="107" spans="1:26">
      <c r="A107" s="410" t="s">
        <v>15</v>
      </c>
      <c r="B107" s="411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1"/>
      <c r="T107" s="411"/>
      <c r="U107" s="411"/>
      <c r="V107" s="411"/>
      <c r="W107" s="41"/>
      <c r="X107" s="41"/>
      <c r="Y107" s="41"/>
      <c r="Z107" s="41"/>
    </row>
    <row r="108" spans="1:26" s="27" customFormat="1">
      <c r="A108" s="218">
        <v>1</v>
      </c>
      <c r="B108" s="124">
        <v>3</v>
      </c>
      <c r="C108" s="98" t="s">
        <v>144</v>
      </c>
      <c r="D108" s="36">
        <f>K108</f>
        <v>1966</v>
      </c>
      <c r="E108" s="102">
        <v>3</v>
      </c>
      <c r="F108" s="103">
        <f>E108*51.324</f>
        <v>153.97199999999998</v>
      </c>
      <c r="G108" s="64">
        <v>2</v>
      </c>
      <c r="H108" s="37">
        <f t="shared" ref="H108:H110" si="28">52753*G108</f>
        <v>105506</v>
      </c>
      <c r="I108" s="65"/>
      <c r="J108" s="65"/>
      <c r="K108" s="125">
        <v>1966</v>
      </c>
      <c r="L108" s="105">
        <f>K108*1.05</f>
        <v>2064.3000000000002</v>
      </c>
      <c r="M108" s="7"/>
      <c r="N108" s="7"/>
      <c r="O108" s="7"/>
      <c r="P108" s="7"/>
      <c r="Q108" s="7"/>
      <c r="R108" s="85"/>
      <c r="S108" s="88"/>
      <c r="T108" s="88"/>
      <c r="U108" s="88"/>
      <c r="V108" s="2"/>
      <c r="W108" s="47"/>
      <c r="X108" s="24"/>
      <c r="Y108" s="41"/>
      <c r="Z108" s="43"/>
    </row>
    <row r="109" spans="1:26" s="27" customFormat="1">
      <c r="A109" s="218">
        <v>2</v>
      </c>
      <c r="B109" s="239">
        <v>3</v>
      </c>
      <c r="C109" s="232" t="s">
        <v>222</v>
      </c>
      <c r="D109" s="203"/>
      <c r="E109" s="220"/>
      <c r="F109" s="221"/>
      <c r="G109" s="233"/>
      <c r="H109" s="205"/>
      <c r="I109" s="234"/>
      <c r="J109" s="234"/>
      <c r="K109" s="235"/>
      <c r="L109" s="224"/>
      <c r="M109" s="236"/>
      <c r="N109" s="236"/>
      <c r="O109" s="236"/>
      <c r="P109" s="236"/>
      <c r="Q109" s="236"/>
      <c r="R109" s="75"/>
      <c r="S109" s="228"/>
      <c r="T109" s="228"/>
      <c r="U109" s="228"/>
      <c r="V109" s="212"/>
      <c r="W109" s="237"/>
      <c r="X109" s="213"/>
      <c r="Y109" s="238"/>
      <c r="Z109" s="214"/>
    </row>
    <row r="110" spans="1:26" s="27" customFormat="1">
      <c r="A110" s="218">
        <v>3</v>
      </c>
      <c r="B110" s="124">
        <v>2</v>
      </c>
      <c r="C110" s="98" t="s">
        <v>145</v>
      </c>
      <c r="D110" s="36">
        <f t="shared" ref="D110:D111" si="29">K110</f>
        <v>1323</v>
      </c>
      <c r="E110" s="102">
        <v>2</v>
      </c>
      <c r="F110" s="103">
        <f>E110*51.324</f>
        <v>102.648</v>
      </c>
      <c r="G110" s="64">
        <v>1</v>
      </c>
      <c r="H110" s="37">
        <f t="shared" si="28"/>
        <v>52753</v>
      </c>
      <c r="I110" s="65"/>
      <c r="J110" s="65"/>
      <c r="K110" s="125">
        <v>1323</v>
      </c>
      <c r="L110" s="105">
        <f>K110*1.05</f>
        <v>1389.15</v>
      </c>
      <c r="M110" s="7"/>
      <c r="N110" s="7"/>
      <c r="O110" s="7"/>
      <c r="P110" s="7"/>
      <c r="Q110" s="7"/>
      <c r="R110" s="85"/>
      <c r="S110" s="96"/>
      <c r="T110" s="96"/>
      <c r="U110" s="96"/>
      <c r="V110" s="94"/>
      <c r="W110" s="47"/>
      <c r="X110" s="22"/>
      <c r="Y110" s="242"/>
      <c r="Z110" s="63"/>
    </row>
    <row r="111" spans="1:26" s="27" customFormat="1">
      <c r="A111" s="200">
        <v>4</v>
      </c>
      <c r="B111" s="124">
        <v>1</v>
      </c>
      <c r="C111" s="98" t="s">
        <v>146</v>
      </c>
      <c r="D111" s="36">
        <f t="shared" si="29"/>
        <v>2908</v>
      </c>
      <c r="E111" s="102">
        <v>0</v>
      </c>
      <c r="F111" s="103">
        <f>E111*51.324</f>
        <v>0</v>
      </c>
      <c r="G111" s="64"/>
      <c r="H111" s="65"/>
      <c r="I111" s="66">
        <v>1</v>
      </c>
      <c r="J111" s="37">
        <f>46923*I111</f>
        <v>46923</v>
      </c>
      <c r="K111" s="104">
        <v>2908</v>
      </c>
      <c r="L111" s="105">
        <f>K111*1.11</f>
        <v>3227.88</v>
      </c>
      <c r="M111" s="7"/>
      <c r="N111" s="7"/>
      <c r="O111" s="7"/>
      <c r="P111" s="7"/>
      <c r="Q111" s="7"/>
      <c r="R111" s="85"/>
      <c r="S111" s="96"/>
      <c r="T111" s="96"/>
      <c r="U111" s="96"/>
      <c r="V111" s="94"/>
      <c r="W111" s="47"/>
      <c r="X111" s="22"/>
      <c r="Y111" s="242"/>
      <c r="Z111" s="63"/>
    </row>
    <row r="112" spans="1:26">
      <c r="A112" s="17"/>
      <c r="B112" s="19">
        <f>SUM(B108:B111)</f>
        <v>9</v>
      </c>
      <c r="C112" s="18" t="s">
        <v>4</v>
      </c>
      <c r="D112" s="20">
        <f t="shared" ref="D112:L112" si="30">SUM(D108:D111)</f>
        <v>6197</v>
      </c>
      <c r="E112" s="20">
        <f t="shared" si="30"/>
        <v>5</v>
      </c>
      <c r="F112" s="74">
        <f t="shared" si="30"/>
        <v>256.62</v>
      </c>
      <c r="G112" s="1">
        <f t="shared" si="30"/>
        <v>3</v>
      </c>
      <c r="H112" s="1">
        <f t="shared" si="30"/>
        <v>158259</v>
      </c>
      <c r="I112" s="1">
        <f t="shared" si="30"/>
        <v>1</v>
      </c>
      <c r="J112" s="1">
        <f t="shared" si="30"/>
        <v>46923</v>
      </c>
      <c r="K112" s="1">
        <f t="shared" si="30"/>
        <v>6197</v>
      </c>
      <c r="L112" s="74">
        <f t="shared" si="30"/>
        <v>6681.33</v>
      </c>
      <c r="M112" s="20"/>
      <c r="N112" s="20"/>
      <c r="O112" s="20"/>
      <c r="P112" s="20"/>
      <c r="Q112" s="20"/>
      <c r="R112" s="230"/>
      <c r="S112" s="248"/>
      <c r="T112" s="248"/>
      <c r="U112" s="248"/>
      <c r="V112" s="94"/>
      <c r="W112" s="21"/>
      <c r="X112" s="21"/>
      <c r="Y112" s="21"/>
      <c r="Z112" s="21"/>
    </row>
    <row r="113" spans="1:26">
      <c r="A113" s="3"/>
      <c r="B113" s="10">
        <f>B12+B18+B33+B67+B75+B97+B106+B112</f>
        <v>145</v>
      </c>
      <c r="C113" s="9" t="s">
        <v>16</v>
      </c>
      <c r="D113" s="3">
        <f t="shared" ref="D113:L113" si="31">D112+D106+D97+D75+D67+D33+D18+D12</f>
        <v>205458.55</v>
      </c>
      <c r="E113" s="3">
        <f t="shared" si="31"/>
        <v>205</v>
      </c>
      <c r="F113" s="72">
        <f t="shared" si="31"/>
        <v>7752695.4960000003</v>
      </c>
      <c r="G113" s="3">
        <f t="shared" si="31"/>
        <v>30</v>
      </c>
      <c r="H113" s="3">
        <f t="shared" si="31"/>
        <v>1582590</v>
      </c>
      <c r="I113" s="3">
        <f t="shared" si="31"/>
        <v>3</v>
      </c>
      <c r="J113" s="3">
        <f t="shared" si="31"/>
        <v>140769</v>
      </c>
      <c r="K113" s="3">
        <f t="shared" si="31"/>
        <v>202619.35</v>
      </c>
      <c r="L113" s="72">
        <f t="shared" si="31"/>
        <v>8209881.5274999999</v>
      </c>
      <c r="M113" s="72"/>
      <c r="N113" s="90"/>
      <c r="O113" s="90"/>
      <c r="P113" s="90"/>
      <c r="Q113" s="90"/>
      <c r="R113" s="86"/>
      <c r="S113" s="72"/>
      <c r="T113" s="72"/>
      <c r="U113" s="72"/>
      <c r="V113" s="3"/>
      <c r="W113" s="23"/>
      <c r="X113" s="23"/>
      <c r="Y113" s="23"/>
      <c r="Z113" s="23"/>
    </row>
    <row r="114" spans="1:26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250"/>
      <c r="O114" s="12"/>
      <c r="P114" s="12"/>
      <c r="Q114" s="385"/>
      <c r="R114" s="385"/>
      <c r="S114" s="385"/>
      <c r="T114" s="385"/>
      <c r="U114" s="385"/>
      <c r="V114" s="385"/>
      <c r="W114" s="48"/>
      <c r="X114" s="48"/>
    </row>
    <row r="115" spans="1:26" ht="20.25">
      <c r="L115" s="84"/>
      <c r="M115" s="84"/>
      <c r="R115" s="60"/>
      <c r="W115" s="49"/>
      <c r="X115" s="52"/>
    </row>
    <row r="116" spans="1:26">
      <c r="M116" s="12"/>
      <c r="N116" s="250"/>
      <c r="P116" s="12"/>
      <c r="Q116" s="385"/>
      <c r="R116" s="385"/>
      <c r="S116" s="385"/>
      <c r="T116" s="385"/>
      <c r="U116" s="385"/>
      <c r="V116" s="385"/>
      <c r="W116" s="48"/>
      <c r="X116" s="48"/>
    </row>
    <row r="117" spans="1:26">
      <c r="W117" s="48"/>
      <c r="X117" s="48"/>
    </row>
    <row r="118" spans="1:26" ht="20.25">
      <c r="A118" s="31">
        <v>1</v>
      </c>
      <c r="B118" s="38"/>
      <c r="C118" s="424" t="s">
        <v>22</v>
      </c>
      <c r="D118" s="425"/>
      <c r="E118" s="425"/>
      <c r="F118" s="425"/>
      <c r="G118" s="425"/>
      <c r="H118" s="425"/>
      <c r="I118" s="425"/>
      <c r="J118" s="425"/>
      <c r="K118" s="426"/>
      <c r="L118" s="68" t="s">
        <v>39</v>
      </c>
      <c r="M118" s="55"/>
      <c r="W118" s="48"/>
      <c r="X118" s="48"/>
    </row>
    <row r="119" spans="1:26" ht="20.25">
      <c r="A119" s="31">
        <v>2</v>
      </c>
      <c r="B119" s="38"/>
      <c r="C119" s="424" t="s">
        <v>23</v>
      </c>
      <c r="D119" s="425"/>
      <c r="E119" s="425"/>
      <c r="F119" s="425"/>
      <c r="G119" s="425"/>
      <c r="H119" s="425"/>
      <c r="I119" s="425"/>
      <c r="J119" s="425"/>
      <c r="K119" s="426"/>
      <c r="L119" s="68" t="s">
        <v>39</v>
      </c>
      <c r="M119" s="55"/>
      <c r="P119" s="87"/>
      <c r="W119" s="48"/>
      <c r="X119" s="48"/>
    </row>
    <row r="120" spans="1:26" ht="20.25">
      <c r="A120" s="31">
        <v>3</v>
      </c>
      <c r="B120" s="38"/>
      <c r="C120" s="424" t="s">
        <v>29</v>
      </c>
      <c r="D120" s="425"/>
      <c r="E120" s="425"/>
      <c r="F120" s="425"/>
      <c r="G120" s="425"/>
      <c r="H120" s="425"/>
      <c r="I120" s="425"/>
      <c r="J120" s="425"/>
      <c r="K120" s="426"/>
      <c r="L120" s="68" t="s">
        <v>39</v>
      </c>
      <c r="M120" s="55"/>
      <c r="N120" s="431"/>
      <c r="O120" s="432"/>
      <c r="P120" s="87"/>
      <c r="Q120" s="89"/>
      <c r="W120" s="26"/>
      <c r="X120" s="26"/>
    </row>
    <row r="121" spans="1:26" ht="20.25">
      <c r="A121" s="31">
        <v>4</v>
      </c>
      <c r="B121" s="38"/>
      <c r="C121" s="424" t="s">
        <v>30</v>
      </c>
      <c r="D121" s="425"/>
      <c r="E121" s="425"/>
      <c r="F121" s="425"/>
      <c r="G121" s="425"/>
      <c r="H121" s="425"/>
      <c r="I121" s="425"/>
      <c r="J121" s="425"/>
      <c r="K121" s="426"/>
      <c r="L121" s="68"/>
      <c r="M121" s="55"/>
      <c r="P121" s="87"/>
      <c r="Q121" s="85"/>
      <c r="W121" s="48"/>
      <c r="X121" s="48"/>
    </row>
    <row r="122" spans="1:26" ht="20.25">
      <c r="A122" s="31">
        <v>5</v>
      </c>
      <c r="B122" s="38"/>
      <c r="C122" s="424" t="s">
        <v>24</v>
      </c>
      <c r="D122" s="425"/>
      <c r="E122" s="425"/>
      <c r="F122" s="425"/>
      <c r="G122" s="425"/>
      <c r="H122" s="425"/>
      <c r="I122" s="425"/>
      <c r="J122" s="425"/>
      <c r="K122" s="426"/>
      <c r="L122" s="68" t="s">
        <v>39</v>
      </c>
      <c r="M122" s="55"/>
      <c r="P122" s="87"/>
      <c r="S122" s="73"/>
      <c r="T122" s="73"/>
      <c r="U122" s="73"/>
      <c r="W122" s="48"/>
      <c r="X122" s="48"/>
    </row>
    <row r="123" spans="1:26" ht="20.25">
      <c r="A123" s="31">
        <v>6</v>
      </c>
      <c r="B123" s="38"/>
      <c r="C123" s="424" t="s">
        <v>25</v>
      </c>
      <c r="D123" s="425"/>
      <c r="E123" s="425"/>
      <c r="F123" s="425"/>
      <c r="G123" s="425"/>
      <c r="H123" s="425"/>
      <c r="I123" s="425"/>
      <c r="J123" s="425"/>
      <c r="K123" s="426"/>
      <c r="L123" s="69"/>
      <c r="M123" s="54"/>
      <c r="W123" s="49"/>
      <c r="X123" s="49"/>
    </row>
    <row r="124" spans="1:26" ht="20.25">
      <c r="A124" s="31">
        <v>7</v>
      </c>
      <c r="B124" s="38"/>
      <c r="C124" s="424" t="s">
        <v>26</v>
      </c>
      <c r="D124" s="425"/>
      <c r="E124" s="425"/>
      <c r="F124" s="425"/>
      <c r="G124" s="425"/>
      <c r="H124" s="425"/>
      <c r="I124" s="425"/>
      <c r="J124" s="425"/>
      <c r="K124" s="426"/>
      <c r="L124" s="69"/>
      <c r="M124" s="54"/>
      <c r="W124" s="49"/>
      <c r="X124" s="49"/>
    </row>
    <row r="125" spans="1:26" ht="20.25">
      <c r="A125" s="56"/>
      <c r="B125" s="57"/>
      <c r="C125" s="430" t="s">
        <v>36</v>
      </c>
      <c r="D125" s="430"/>
      <c r="E125" s="430"/>
      <c r="F125" s="430"/>
      <c r="G125" s="430"/>
      <c r="H125" s="430"/>
      <c r="I125" s="430"/>
      <c r="J125" s="430"/>
      <c r="K125" s="430"/>
      <c r="L125" s="430"/>
      <c r="M125" s="57"/>
      <c r="W125" s="49"/>
      <c r="X125" s="49"/>
    </row>
    <row r="126" spans="1:26">
      <c r="W126" s="49"/>
      <c r="X126" s="49"/>
    </row>
    <row r="127" spans="1:26">
      <c r="W127" s="48"/>
      <c r="X127" s="48"/>
    </row>
    <row r="128" spans="1:26">
      <c r="W128" s="26"/>
      <c r="X128" s="26"/>
    </row>
    <row r="129" spans="12:24">
      <c r="W129" s="26"/>
      <c r="X129" s="26"/>
    </row>
    <row r="130" spans="12:24">
      <c r="W130" s="48"/>
      <c r="X130" s="48"/>
    </row>
    <row r="131" spans="12:24">
      <c r="W131" s="50"/>
      <c r="X131" s="50"/>
    </row>
    <row r="132" spans="12:24">
      <c r="L132" s="67" t="s">
        <v>27</v>
      </c>
      <c r="W132" s="26"/>
      <c r="X132" s="26"/>
    </row>
    <row r="133" spans="12:24">
      <c r="W133" s="26"/>
      <c r="X133" s="26"/>
    </row>
    <row r="134" spans="12:24">
      <c r="W134" s="26"/>
      <c r="X134" s="26"/>
    </row>
  </sheetData>
  <mergeCells count="42">
    <mergeCell ref="Z5:Z7"/>
    <mergeCell ref="A8:V8"/>
    <mergeCell ref="A13:V13"/>
    <mergeCell ref="A19:V19"/>
    <mergeCell ref="A34:V34"/>
    <mergeCell ref="V5:V7"/>
    <mergeCell ref="O5:O7"/>
    <mergeCell ref="P5:P7"/>
    <mergeCell ref="Y5:Y7"/>
    <mergeCell ref="N5:N7"/>
    <mergeCell ref="A5:A7"/>
    <mergeCell ref="B5:B7"/>
    <mergeCell ref="X5:X7"/>
    <mergeCell ref="M5:M7"/>
    <mergeCell ref="C124:K124"/>
    <mergeCell ref="C125:L125"/>
    <mergeCell ref="C122:K122"/>
    <mergeCell ref="C123:K123"/>
    <mergeCell ref="N120:O120"/>
    <mergeCell ref="C120:K120"/>
    <mergeCell ref="C121:K121"/>
    <mergeCell ref="Q116:V116"/>
    <mergeCell ref="Q114:V114"/>
    <mergeCell ref="E5:F6"/>
    <mergeCell ref="I5:J6"/>
    <mergeCell ref="A98:V98"/>
    <mergeCell ref="B4:C4"/>
    <mergeCell ref="B3:C3"/>
    <mergeCell ref="W5:W7"/>
    <mergeCell ref="C118:K118"/>
    <mergeCell ref="C119:K119"/>
    <mergeCell ref="A68:V68"/>
    <mergeCell ref="A76:V76"/>
    <mergeCell ref="S6:U6"/>
    <mergeCell ref="R6:R7"/>
    <mergeCell ref="R5:U5"/>
    <mergeCell ref="Q5:Q7"/>
    <mergeCell ref="K5:L6"/>
    <mergeCell ref="D5:D7"/>
    <mergeCell ref="C5:C7"/>
    <mergeCell ref="A107:V107"/>
    <mergeCell ref="G5:H6"/>
  </mergeCells>
  <pageMargins left="0.70866141732283472" right="0.70866141732283472" top="0.74803149606299213" bottom="0.74803149606299213" header="0.31496062992125984" footer="0.31496062992125984"/>
  <pageSetup paperSize="9" scale="45" fitToWidth="0" fitToHeight="0" orientation="landscape" r:id="rId1"/>
  <rowBreaks count="2" manualBreakCount="2">
    <brk id="33" max="26" man="1"/>
    <brk id="97" max="26" man="1"/>
  </rowBreaks>
  <colBreaks count="2" manualBreakCount="2">
    <brk id="21" max="135" man="1"/>
    <brk id="22" max="1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"/>
  <sheetViews>
    <sheetView topLeftCell="A116" workbookViewId="0">
      <selection activeCell="J124" sqref="J124:K137"/>
    </sheetView>
  </sheetViews>
  <sheetFormatPr defaultRowHeight="15"/>
  <cols>
    <col min="1" max="1" width="8.140625" customWidth="1"/>
    <col min="2" max="2" width="12.5703125" customWidth="1"/>
    <col min="3" max="3" width="14" customWidth="1"/>
    <col min="4" max="4" width="24.7109375" customWidth="1"/>
    <col min="6" max="6" width="21.5703125" customWidth="1"/>
    <col min="8" max="9" width="13" customWidth="1"/>
    <col min="10" max="10" width="12.28515625" customWidth="1"/>
    <col min="11" max="11" width="16.5703125" customWidth="1"/>
    <col min="12" max="12" width="16.7109375" customWidth="1"/>
    <col min="13" max="13" width="16.140625" customWidth="1"/>
  </cols>
  <sheetData>
    <row r="1" spans="1:15" ht="15.75" thickBot="1">
      <c r="A1" s="126"/>
      <c r="B1" s="126"/>
      <c r="C1" s="126"/>
      <c r="D1" s="126"/>
      <c r="E1" s="126"/>
      <c r="F1" s="127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6.5" thickBot="1">
      <c r="A2" s="441" t="s">
        <v>0</v>
      </c>
      <c r="B2" s="443" t="s">
        <v>147</v>
      </c>
      <c r="C2" s="128"/>
      <c r="D2" s="445" t="s">
        <v>148</v>
      </c>
      <c r="E2" s="129" t="s">
        <v>149</v>
      </c>
      <c r="F2" s="447" t="s">
        <v>150</v>
      </c>
      <c r="G2" s="441" t="s">
        <v>151</v>
      </c>
      <c r="H2" s="450" t="s">
        <v>152</v>
      </c>
      <c r="I2" s="451"/>
      <c r="J2" s="434" t="s">
        <v>153</v>
      </c>
      <c r="K2" s="435"/>
      <c r="L2" s="436" t="s">
        <v>154</v>
      </c>
      <c r="M2" s="438" t="s">
        <v>155</v>
      </c>
      <c r="N2" s="439"/>
      <c r="O2" s="440"/>
    </row>
    <row r="3" spans="1:15" ht="111" thickBot="1">
      <c r="A3" s="442"/>
      <c r="B3" s="444"/>
      <c r="C3" s="130"/>
      <c r="D3" s="446"/>
      <c r="E3" s="131"/>
      <c r="F3" s="448"/>
      <c r="G3" s="449"/>
      <c r="H3" s="132" t="s">
        <v>156</v>
      </c>
      <c r="I3" s="133" t="s">
        <v>157</v>
      </c>
      <c r="J3" s="133" t="s">
        <v>158</v>
      </c>
      <c r="K3" s="133" t="s">
        <v>157</v>
      </c>
      <c r="L3" s="437"/>
      <c r="M3" s="134" t="s">
        <v>35</v>
      </c>
      <c r="N3" s="135" t="s">
        <v>159</v>
      </c>
      <c r="O3" s="136" t="s">
        <v>160</v>
      </c>
    </row>
    <row r="4" spans="1:15" ht="16.5" thickBot="1">
      <c r="A4" s="137">
        <v>1</v>
      </c>
      <c r="B4" s="138"/>
      <c r="C4" s="138"/>
      <c r="D4" s="139">
        <v>2</v>
      </c>
      <c r="E4" s="139"/>
      <c r="F4" s="140">
        <v>3</v>
      </c>
      <c r="G4" s="140">
        <v>4</v>
      </c>
      <c r="H4" s="139">
        <v>5</v>
      </c>
      <c r="I4" s="139">
        <v>6</v>
      </c>
      <c r="J4" s="139">
        <v>7</v>
      </c>
      <c r="K4" s="139">
        <v>8</v>
      </c>
      <c r="L4" s="141">
        <v>9</v>
      </c>
      <c r="M4" s="142">
        <v>10</v>
      </c>
      <c r="N4" s="143">
        <v>11</v>
      </c>
      <c r="O4" s="144">
        <v>12</v>
      </c>
    </row>
    <row r="5" spans="1:15" ht="15.75">
      <c r="A5" s="185"/>
      <c r="B5" s="186"/>
      <c r="C5" s="186"/>
      <c r="D5" s="187"/>
      <c r="E5" s="187"/>
      <c r="F5" s="188"/>
      <c r="G5" s="188">
        <v>2019</v>
      </c>
      <c r="H5" s="187"/>
      <c r="I5" s="187"/>
      <c r="J5" s="187"/>
      <c r="K5" s="187"/>
      <c r="L5" s="189"/>
      <c r="M5" s="190"/>
      <c r="N5" s="191"/>
      <c r="O5" s="189"/>
    </row>
    <row r="6" spans="1:15" ht="31.5">
      <c r="A6" s="159">
        <v>5</v>
      </c>
      <c r="B6" s="168">
        <v>42993</v>
      </c>
      <c r="C6" s="169">
        <v>0.64236111111111105</v>
      </c>
      <c r="D6" s="160" t="s">
        <v>167</v>
      </c>
      <c r="E6" s="161">
        <v>7.7</v>
      </c>
      <c r="F6" s="162" t="s">
        <v>169</v>
      </c>
      <c r="G6" s="163">
        <v>2</v>
      </c>
      <c r="H6" s="166">
        <v>2881</v>
      </c>
      <c r="I6" s="165">
        <f t="shared" ref="I6:I50" si="0">H6*1.05</f>
        <v>3025.05</v>
      </c>
      <c r="J6" s="166">
        <v>6</v>
      </c>
      <c r="K6" s="167">
        <f t="shared" ref="K6:K30" si="1">J6*51.324</f>
        <v>307.94399999999996</v>
      </c>
      <c r="L6" s="167">
        <f>K6+I6</f>
        <v>3332.9940000000001</v>
      </c>
      <c r="M6" s="167">
        <f t="shared" ref="M6:M50" si="2">L6*R6</f>
        <v>0</v>
      </c>
      <c r="N6" s="167">
        <f t="shared" ref="N6:N50" si="3">L6*S6</f>
        <v>0</v>
      </c>
      <c r="O6" s="167">
        <f t="shared" ref="O6:O66" si="4">L6*0.05</f>
        <v>166.64970000000002</v>
      </c>
    </row>
    <row r="7" spans="1:15" ht="31.5">
      <c r="A7" s="147">
        <v>6</v>
      </c>
      <c r="B7" s="148">
        <v>42993</v>
      </c>
      <c r="C7" s="149">
        <v>0.64374999999999993</v>
      </c>
      <c r="D7" s="146" t="s">
        <v>167</v>
      </c>
      <c r="E7" s="150">
        <v>7.7</v>
      </c>
      <c r="F7" s="151" t="s">
        <v>65</v>
      </c>
      <c r="G7" s="106">
        <v>1</v>
      </c>
      <c r="H7" s="153">
        <v>1091</v>
      </c>
      <c r="I7" s="101">
        <f t="shared" si="0"/>
        <v>1145.55</v>
      </c>
      <c r="J7" s="153">
        <v>0</v>
      </c>
      <c r="K7" s="99">
        <f t="shared" si="1"/>
        <v>0</v>
      </c>
      <c r="L7" s="99">
        <f t="shared" ref="L7:L17" si="5">I7+K7</f>
        <v>1145.55</v>
      </c>
      <c r="M7" s="99">
        <f t="shared" si="2"/>
        <v>0</v>
      </c>
      <c r="N7" s="99">
        <f t="shared" si="3"/>
        <v>0</v>
      </c>
      <c r="O7" s="99">
        <f t="shared" si="4"/>
        <v>57.277500000000003</v>
      </c>
    </row>
    <row r="8" spans="1:15" ht="31.5">
      <c r="A8" s="145">
        <v>7</v>
      </c>
      <c r="B8" s="148">
        <v>42993</v>
      </c>
      <c r="C8" s="149">
        <v>0.64513888888888882</v>
      </c>
      <c r="D8" s="146" t="s">
        <v>167</v>
      </c>
      <c r="E8" s="150">
        <v>7.7</v>
      </c>
      <c r="F8" s="151" t="s">
        <v>66</v>
      </c>
      <c r="G8" s="106">
        <v>1</v>
      </c>
      <c r="H8" s="100">
        <v>3639</v>
      </c>
      <c r="I8" s="101">
        <f t="shared" si="0"/>
        <v>3820.9500000000003</v>
      </c>
      <c r="J8" s="152">
        <v>2</v>
      </c>
      <c r="K8" s="99">
        <f t="shared" si="1"/>
        <v>102.648</v>
      </c>
      <c r="L8" s="99">
        <f t="shared" si="5"/>
        <v>3923.5980000000004</v>
      </c>
      <c r="M8" s="99">
        <f t="shared" si="2"/>
        <v>0</v>
      </c>
      <c r="N8" s="99">
        <f t="shared" si="3"/>
        <v>0</v>
      </c>
      <c r="O8" s="99">
        <f t="shared" si="4"/>
        <v>196.17990000000003</v>
      </c>
    </row>
    <row r="9" spans="1:15" ht="31.5">
      <c r="A9" s="147">
        <v>8</v>
      </c>
      <c r="B9" s="148">
        <v>42993</v>
      </c>
      <c r="C9" s="149">
        <v>0.64583333333333337</v>
      </c>
      <c r="D9" s="146" t="s">
        <v>167</v>
      </c>
      <c r="E9" s="150">
        <v>7.7</v>
      </c>
      <c r="F9" s="151" t="s">
        <v>67</v>
      </c>
      <c r="G9" s="106">
        <v>1</v>
      </c>
      <c r="H9" s="100">
        <v>2832</v>
      </c>
      <c r="I9" s="101">
        <f t="shared" si="0"/>
        <v>2973.6</v>
      </c>
      <c r="J9" s="152">
        <v>4</v>
      </c>
      <c r="K9" s="99">
        <f t="shared" si="1"/>
        <v>205.29599999999999</v>
      </c>
      <c r="L9" s="99">
        <f t="shared" si="5"/>
        <v>3178.8959999999997</v>
      </c>
      <c r="M9" s="99">
        <f t="shared" si="2"/>
        <v>0</v>
      </c>
      <c r="N9" s="99">
        <f t="shared" si="3"/>
        <v>0</v>
      </c>
      <c r="O9" s="99">
        <f t="shared" si="4"/>
        <v>158.94479999999999</v>
      </c>
    </row>
    <row r="10" spans="1:15" ht="31.5">
      <c r="A10" s="147">
        <v>9</v>
      </c>
      <c r="B10" s="148">
        <v>42993</v>
      </c>
      <c r="C10" s="149">
        <v>0.64652777777777781</v>
      </c>
      <c r="D10" s="146" t="s">
        <v>167</v>
      </c>
      <c r="E10" s="150">
        <v>7.7</v>
      </c>
      <c r="F10" s="151" t="s">
        <v>68</v>
      </c>
      <c r="G10" s="106">
        <v>1</v>
      </c>
      <c r="H10" s="100">
        <v>1922</v>
      </c>
      <c r="I10" s="101">
        <f t="shared" si="0"/>
        <v>2018.1000000000001</v>
      </c>
      <c r="J10" s="152">
        <v>4</v>
      </c>
      <c r="K10" s="99">
        <f t="shared" si="1"/>
        <v>205.29599999999999</v>
      </c>
      <c r="L10" s="99">
        <f t="shared" si="5"/>
        <v>2223.3960000000002</v>
      </c>
      <c r="M10" s="99">
        <f t="shared" si="2"/>
        <v>0</v>
      </c>
      <c r="N10" s="99">
        <f t="shared" si="3"/>
        <v>0</v>
      </c>
      <c r="O10" s="99">
        <f t="shared" si="4"/>
        <v>111.16980000000001</v>
      </c>
    </row>
    <row r="11" spans="1:15" ht="31.5">
      <c r="A11" s="147">
        <v>10</v>
      </c>
      <c r="B11" s="148">
        <v>42993</v>
      </c>
      <c r="C11" s="149">
        <v>0.64861111111111114</v>
      </c>
      <c r="D11" s="146" t="s">
        <v>167</v>
      </c>
      <c r="E11" s="150">
        <v>7.7</v>
      </c>
      <c r="F11" s="151" t="s">
        <v>69</v>
      </c>
      <c r="G11" s="106">
        <v>2</v>
      </c>
      <c r="H11" s="100">
        <v>3595</v>
      </c>
      <c r="I11" s="101">
        <f t="shared" si="0"/>
        <v>3774.75</v>
      </c>
      <c r="J11" s="152">
        <v>8</v>
      </c>
      <c r="K11" s="99">
        <f t="shared" si="1"/>
        <v>410.59199999999998</v>
      </c>
      <c r="L11" s="99">
        <f t="shared" si="5"/>
        <v>4185.3419999999996</v>
      </c>
      <c r="M11" s="99">
        <f t="shared" si="2"/>
        <v>0</v>
      </c>
      <c r="N11" s="99">
        <f t="shared" si="3"/>
        <v>0</v>
      </c>
      <c r="O11" s="99">
        <f t="shared" si="4"/>
        <v>209.2671</v>
      </c>
    </row>
    <row r="12" spans="1:15" ht="31.5">
      <c r="A12" s="145">
        <v>11</v>
      </c>
      <c r="B12" s="148">
        <v>42993</v>
      </c>
      <c r="C12" s="149">
        <v>0.65</v>
      </c>
      <c r="D12" s="146" t="s">
        <v>167</v>
      </c>
      <c r="E12" s="150" t="s">
        <v>170</v>
      </c>
      <c r="F12" s="151" t="s">
        <v>70</v>
      </c>
      <c r="G12" s="106">
        <v>2</v>
      </c>
      <c r="H12" s="100">
        <v>2329</v>
      </c>
      <c r="I12" s="101">
        <f t="shared" si="0"/>
        <v>2445.4500000000003</v>
      </c>
      <c r="J12" s="152">
        <v>5</v>
      </c>
      <c r="K12" s="99">
        <f t="shared" si="1"/>
        <v>256.62</v>
      </c>
      <c r="L12" s="99">
        <f t="shared" si="5"/>
        <v>2702.07</v>
      </c>
      <c r="M12" s="99">
        <f t="shared" si="2"/>
        <v>0</v>
      </c>
      <c r="N12" s="99">
        <f t="shared" si="3"/>
        <v>0</v>
      </c>
      <c r="O12" s="99">
        <f t="shared" si="4"/>
        <v>135.10350000000003</v>
      </c>
    </row>
    <row r="13" spans="1:15" ht="47.25">
      <c r="A13" s="147">
        <v>12</v>
      </c>
      <c r="B13" s="148">
        <v>42993</v>
      </c>
      <c r="C13" s="149">
        <v>0.65277777777777779</v>
      </c>
      <c r="D13" s="146" t="s">
        <v>167</v>
      </c>
      <c r="E13" s="150">
        <v>7.7</v>
      </c>
      <c r="F13" s="151" t="s">
        <v>71</v>
      </c>
      <c r="G13" s="106">
        <v>2</v>
      </c>
      <c r="H13" s="100">
        <v>1300</v>
      </c>
      <c r="I13" s="101">
        <f t="shared" si="0"/>
        <v>1365</v>
      </c>
      <c r="J13" s="152">
        <v>3</v>
      </c>
      <c r="K13" s="99">
        <f t="shared" si="1"/>
        <v>153.97199999999998</v>
      </c>
      <c r="L13" s="99">
        <f t="shared" si="5"/>
        <v>1518.972</v>
      </c>
      <c r="M13" s="99">
        <f t="shared" si="2"/>
        <v>0</v>
      </c>
      <c r="N13" s="99">
        <f t="shared" si="3"/>
        <v>0</v>
      </c>
      <c r="O13" s="99">
        <f t="shared" si="4"/>
        <v>75.948599999999999</v>
      </c>
    </row>
    <row r="14" spans="1:15" ht="31.5">
      <c r="A14" s="147">
        <v>13</v>
      </c>
      <c r="B14" s="148">
        <v>42993</v>
      </c>
      <c r="C14" s="149">
        <v>0.65347222222222223</v>
      </c>
      <c r="D14" s="146" t="s">
        <v>167</v>
      </c>
      <c r="E14" s="150">
        <v>7.7</v>
      </c>
      <c r="F14" s="151" t="s">
        <v>72</v>
      </c>
      <c r="G14" s="106">
        <v>1</v>
      </c>
      <c r="H14" s="100">
        <v>425</v>
      </c>
      <c r="I14" s="101">
        <f t="shared" si="0"/>
        <v>446.25</v>
      </c>
      <c r="J14" s="152">
        <v>2</v>
      </c>
      <c r="K14" s="99">
        <f t="shared" si="1"/>
        <v>102.648</v>
      </c>
      <c r="L14" s="99">
        <f t="shared" si="5"/>
        <v>548.89800000000002</v>
      </c>
      <c r="M14" s="99">
        <f t="shared" si="2"/>
        <v>0</v>
      </c>
      <c r="N14" s="99">
        <f t="shared" si="3"/>
        <v>0</v>
      </c>
      <c r="O14" s="99">
        <f t="shared" si="4"/>
        <v>27.444900000000004</v>
      </c>
    </row>
    <row r="15" spans="1:15" ht="31.5">
      <c r="A15" s="147">
        <v>14</v>
      </c>
      <c r="B15" s="148">
        <v>42993</v>
      </c>
      <c r="C15" s="149">
        <v>0.65416666666666667</v>
      </c>
      <c r="D15" s="146" t="s">
        <v>167</v>
      </c>
      <c r="E15" s="150">
        <v>7.7</v>
      </c>
      <c r="F15" s="151" t="s">
        <v>73</v>
      </c>
      <c r="G15" s="106">
        <v>1</v>
      </c>
      <c r="H15" s="100">
        <v>1633</v>
      </c>
      <c r="I15" s="101">
        <f t="shared" si="0"/>
        <v>1714.65</v>
      </c>
      <c r="J15" s="152">
        <v>1</v>
      </c>
      <c r="K15" s="99">
        <f t="shared" si="1"/>
        <v>51.323999999999998</v>
      </c>
      <c r="L15" s="99">
        <f t="shared" si="5"/>
        <v>1765.9740000000002</v>
      </c>
      <c r="M15" s="99">
        <f t="shared" si="2"/>
        <v>0</v>
      </c>
      <c r="N15" s="99">
        <f t="shared" si="3"/>
        <v>0</v>
      </c>
      <c r="O15" s="99">
        <f t="shared" si="4"/>
        <v>88.298700000000011</v>
      </c>
    </row>
    <row r="16" spans="1:15" ht="31.5">
      <c r="A16" s="145">
        <v>15</v>
      </c>
      <c r="B16" s="148">
        <v>42993</v>
      </c>
      <c r="C16" s="149">
        <v>0.65486111111111112</v>
      </c>
      <c r="D16" s="146" t="s">
        <v>167</v>
      </c>
      <c r="E16" s="150">
        <v>7.7</v>
      </c>
      <c r="F16" s="151" t="s">
        <v>74</v>
      </c>
      <c r="G16" s="106">
        <v>1</v>
      </c>
      <c r="H16" s="100">
        <v>1920</v>
      </c>
      <c r="I16" s="101">
        <f t="shared" si="0"/>
        <v>2016</v>
      </c>
      <c r="J16" s="152">
        <v>1</v>
      </c>
      <c r="K16" s="99">
        <f t="shared" si="1"/>
        <v>51.323999999999998</v>
      </c>
      <c r="L16" s="99">
        <f t="shared" si="5"/>
        <v>2067.3240000000001</v>
      </c>
      <c r="M16" s="99">
        <f t="shared" si="2"/>
        <v>0</v>
      </c>
      <c r="N16" s="99">
        <f t="shared" si="3"/>
        <v>0</v>
      </c>
      <c r="O16" s="99">
        <f t="shared" si="4"/>
        <v>103.36620000000001</v>
      </c>
    </row>
    <row r="17" spans="1:15" ht="31.5">
      <c r="A17" s="147">
        <v>16</v>
      </c>
      <c r="B17" s="148">
        <v>42993</v>
      </c>
      <c r="C17" s="149">
        <v>0.65902777777777777</v>
      </c>
      <c r="D17" s="146" t="s">
        <v>167</v>
      </c>
      <c r="E17" s="150">
        <v>7.7</v>
      </c>
      <c r="F17" s="151" t="s">
        <v>75</v>
      </c>
      <c r="G17" s="106">
        <v>2</v>
      </c>
      <c r="H17" s="100">
        <v>3307</v>
      </c>
      <c r="I17" s="101">
        <f t="shared" si="0"/>
        <v>3472.3500000000004</v>
      </c>
      <c r="J17" s="152">
        <v>4</v>
      </c>
      <c r="K17" s="99">
        <f t="shared" si="1"/>
        <v>205.29599999999999</v>
      </c>
      <c r="L17" s="99">
        <f t="shared" si="5"/>
        <v>3677.6460000000002</v>
      </c>
      <c r="M17" s="99">
        <f t="shared" si="2"/>
        <v>0</v>
      </c>
      <c r="N17" s="99">
        <f t="shared" si="3"/>
        <v>0</v>
      </c>
      <c r="O17" s="99">
        <f t="shared" si="4"/>
        <v>183.88230000000001</v>
      </c>
    </row>
    <row r="18" spans="1:15" ht="15.75">
      <c r="A18" s="147">
        <v>17</v>
      </c>
      <c r="B18" s="148">
        <v>42993</v>
      </c>
      <c r="C18" s="149">
        <v>0.65972222222222221</v>
      </c>
      <c r="D18" s="146" t="s">
        <v>171</v>
      </c>
      <c r="E18" s="150">
        <v>7.7</v>
      </c>
      <c r="F18" s="151" t="s">
        <v>104</v>
      </c>
      <c r="G18" s="106">
        <v>1</v>
      </c>
      <c r="H18" s="100">
        <v>3585</v>
      </c>
      <c r="I18" s="101">
        <f t="shared" si="0"/>
        <v>3764.25</v>
      </c>
      <c r="J18" s="152">
        <v>3</v>
      </c>
      <c r="K18" s="99">
        <f t="shared" si="1"/>
        <v>153.97199999999998</v>
      </c>
      <c r="L18" s="99">
        <f>K18+I18</f>
        <v>3918.2219999999998</v>
      </c>
      <c r="M18" s="99">
        <f t="shared" si="2"/>
        <v>0</v>
      </c>
      <c r="N18" s="99">
        <f t="shared" si="3"/>
        <v>0</v>
      </c>
      <c r="O18" s="99">
        <f t="shared" si="4"/>
        <v>195.9111</v>
      </c>
    </row>
    <row r="19" spans="1:15" ht="31.5">
      <c r="A19" s="147">
        <v>18</v>
      </c>
      <c r="B19" s="148">
        <v>42993</v>
      </c>
      <c r="C19" s="149">
        <v>0.65972222222222221</v>
      </c>
      <c r="D19" s="146" t="s">
        <v>167</v>
      </c>
      <c r="E19" s="150">
        <v>7.7</v>
      </c>
      <c r="F19" s="151" t="s">
        <v>76</v>
      </c>
      <c r="G19" s="106">
        <v>2</v>
      </c>
      <c r="H19" s="100">
        <v>1922</v>
      </c>
      <c r="I19" s="101">
        <f t="shared" si="0"/>
        <v>2018.1000000000001</v>
      </c>
      <c r="J19" s="152">
        <v>4</v>
      </c>
      <c r="K19" s="99">
        <f t="shared" si="1"/>
        <v>205.29599999999999</v>
      </c>
      <c r="L19" s="99">
        <f>I19+K19</f>
        <v>2223.3960000000002</v>
      </c>
      <c r="M19" s="99">
        <f t="shared" si="2"/>
        <v>0</v>
      </c>
      <c r="N19" s="99">
        <f t="shared" si="3"/>
        <v>0</v>
      </c>
      <c r="O19" s="99">
        <f t="shared" si="4"/>
        <v>111.16980000000001</v>
      </c>
    </row>
    <row r="20" spans="1:15" ht="15.75">
      <c r="A20" s="145">
        <v>19</v>
      </c>
      <c r="B20" s="148">
        <v>42993</v>
      </c>
      <c r="C20" s="149">
        <v>0.66041666666666665</v>
      </c>
      <c r="D20" s="146" t="s">
        <v>171</v>
      </c>
      <c r="E20" s="150">
        <v>7.7</v>
      </c>
      <c r="F20" s="151" t="s">
        <v>105</v>
      </c>
      <c r="G20" s="106">
        <v>1</v>
      </c>
      <c r="H20" s="100">
        <v>2937</v>
      </c>
      <c r="I20" s="101">
        <f t="shared" si="0"/>
        <v>3083.85</v>
      </c>
      <c r="J20" s="152">
        <v>3</v>
      </c>
      <c r="K20" s="99">
        <f t="shared" si="1"/>
        <v>153.97199999999998</v>
      </c>
      <c r="L20" s="99">
        <f>K20+I20</f>
        <v>3237.8220000000001</v>
      </c>
      <c r="M20" s="99">
        <f t="shared" si="2"/>
        <v>0</v>
      </c>
      <c r="N20" s="99">
        <f t="shared" si="3"/>
        <v>0</v>
      </c>
      <c r="O20" s="99">
        <f t="shared" si="4"/>
        <v>161.89110000000002</v>
      </c>
    </row>
    <row r="21" spans="1:15" ht="31.5">
      <c r="A21" s="147">
        <v>20</v>
      </c>
      <c r="B21" s="148">
        <v>42992</v>
      </c>
      <c r="C21" s="149">
        <v>0.72291666666666676</v>
      </c>
      <c r="D21" s="146" t="s">
        <v>161</v>
      </c>
      <c r="E21" s="150">
        <v>7.7</v>
      </c>
      <c r="F21" s="151" t="s">
        <v>106</v>
      </c>
      <c r="G21" s="106">
        <v>1</v>
      </c>
      <c r="H21" s="158">
        <v>2870</v>
      </c>
      <c r="I21" s="101">
        <f t="shared" si="0"/>
        <v>3013.5</v>
      </c>
      <c r="J21" s="152">
        <v>0</v>
      </c>
      <c r="K21" s="99">
        <f>J21*51.324</f>
        <v>0</v>
      </c>
      <c r="L21" s="99">
        <f>SUM(K21+I21)</f>
        <v>3013.5</v>
      </c>
      <c r="M21" s="99">
        <f t="shared" si="2"/>
        <v>0</v>
      </c>
      <c r="N21" s="99">
        <f t="shared" si="3"/>
        <v>0</v>
      </c>
      <c r="O21" s="99">
        <f t="shared" si="4"/>
        <v>150.67500000000001</v>
      </c>
    </row>
    <row r="22" spans="1:15" ht="31.5">
      <c r="A22" s="147">
        <v>21</v>
      </c>
      <c r="B22" s="148">
        <v>42993</v>
      </c>
      <c r="C22" s="149">
        <v>0.66041666666666665</v>
      </c>
      <c r="D22" s="146" t="s">
        <v>167</v>
      </c>
      <c r="E22" s="150">
        <v>7.7</v>
      </c>
      <c r="F22" s="151" t="s">
        <v>77</v>
      </c>
      <c r="G22" s="106">
        <v>2</v>
      </c>
      <c r="H22" s="100">
        <v>3307</v>
      </c>
      <c r="I22" s="101">
        <f t="shared" si="0"/>
        <v>3472.3500000000004</v>
      </c>
      <c r="J22" s="152">
        <v>4</v>
      </c>
      <c r="K22" s="99">
        <f t="shared" si="1"/>
        <v>205.29599999999999</v>
      </c>
      <c r="L22" s="99">
        <f>I22+K22</f>
        <v>3677.6460000000002</v>
      </c>
      <c r="M22" s="99">
        <f t="shared" si="2"/>
        <v>0</v>
      </c>
      <c r="N22" s="99">
        <f t="shared" si="3"/>
        <v>0</v>
      </c>
      <c r="O22" s="99">
        <f t="shared" si="4"/>
        <v>183.88230000000001</v>
      </c>
    </row>
    <row r="23" spans="1:15" ht="31.5">
      <c r="A23" s="147">
        <v>22</v>
      </c>
      <c r="B23" s="148">
        <v>42993</v>
      </c>
      <c r="C23" s="149">
        <v>0.66111111111111109</v>
      </c>
      <c r="D23" s="146" t="s">
        <v>167</v>
      </c>
      <c r="E23" s="150">
        <v>7.7</v>
      </c>
      <c r="F23" s="151" t="s">
        <v>78</v>
      </c>
      <c r="G23" s="106">
        <v>2</v>
      </c>
      <c r="H23" s="100">
        <v>1312</v>
      </c>
      <c r="I23" s="101">
        <f t="shared" si="0"/>
        <v>1377.6000000000001</v>
      </c>
      <c r="J23" s="152">
        <v>1</v>
      </c>
      <c r="K23" s="99">
        <f t="shared" si="1"/>
        <v>51.323999999999998</v>
      </c>
      <c r="L23" s="99">
        <f>I23+K23</f>
        <v>1428.9240000000002</v>
      </c>
      <c r="M23" s="99">
        <f t="shared" si="2"/>
        <v>0</v>
      </c>
      <c r="N23" s="99">
        <f t="shared" si="3"/>
        <v>0</v>
      </c>
      <c r="O23" s="99">
        <f t="shared" si="4"/>
        <v>71.446200000000019</v>
      </c>
    </row>
    <row r="24" spans="1:15" ht="47.25">
      <c r="A24" s="145">
        <v>23</v>
      </c>
      <c r="B24" s="148">
        <v>42993</v>
      </c>
      <c r="C24" s="149">
        <v>0.66249999999999998</v>
      </c>
      <c r="D24" s="146" t="s">
        <v>161</v>
      </c>
      <c r="E24" s="150">
        <v>7.7</v>
      </c>
      <c r="F24" s="151" t="s">
        <v>107</v>
      </c>
      <c r="G24" s="118">
        <v>3</v>
      </c>
      <c r="H24" s="158">
        <v>4587</v>
      </c>
      <c r="I24" s="101">
        <f t="shared" si="0"/>
        <v>4816.3500000000004</v>
      </c>
      <c r="J24" s="152"/>
      <c r="K24" s="99">
        <f t="shared" si="1"/>
        <v>0</v>
      </c>
      <c r="L24" s="99">
        <f>SUM(K24+I24)</f>
        <v>4816.3500000000004</v>
      </c>
      <c r="M24" s="99">
        <f t="shared" si="2"/>
        <v>0</v>
      </c>
      <c r="N24" s="99">
        <f t="shared" si="3"/>
        <v>0</v>
      </c>
      <c r="O24" s="99">
        <f t="shared" si="4"/>
        <v>240.81750000000002</v>
      </c>
    </row>
    <row r="25" spans="1:15" ht="31.5">
      <c r="A25" s="147">
        <v>24</v>
      </c>
      <c r="B25" s="148">
        <v>42993</v>
      </c>
      <c r="C25" s="149">
        <v>0.66249999999999998</v>
      </c>
      <c r="D25" s="146" t="s">
        <v>167</v>
      </c>
      <c r="E25" s="150">
        <v>7.7</v>
      </c>
      <c r="F25" s="151" t="s">
        <v>79</v>
      </c>
      <c r="G25" s="106">
        <v>2</v>
      </c>
      <c r="H25" s="100">
        <v>1914</v>
      </c>
      <c r="I25" s="101">
        <f t="shared" si="0"/>
        <v>2009.7</v>
      </c>
      <c r="J25" s="152">
        <v>1</v>
      </c>
      <c r="K25" s="99">
        <f t="shared" si="1"/>
        <v>51.323999999999998</v>
      </c>
      <c r="L25" s="99">
        <f>I25+K25</f>
        <v>2061.0239999999999</v>
      </c>
      <c r="M25" s="99">
        <f t="shared" si="2"/>
        <v>0</v>
      </c>
      <c r="N25" s="99">
        <f t="shared" si="3"/>
        <v>0</v>
      </c>
      <c r="O25" s="99">
        <f t="shared" si="4"/>
        <v>103.05119999999999</v>
      </c>
    </row>
    <row r="26" spans="1:15" ht="31.5">
      <c r="A26" s="147">
        <v>25</v>
      </c>
      <c r="B26" s="148">
        <v>42993</v>
      </c>
      <c r="C26" s="149">
        <v>0.66319444444444442</v>
      </c>
      <c r="D26" s="146" t="s">
        <v>167</v>
      </c>
      <c r="E26" s="150">
        <v>7.7</v>
      </c>
      <c r="F26" s="151" t="s">
        <v>80</v>
      </c>
      <c r="G26" s="106">
        <v>1</v>
      </c>
      <c r="H26" s="100">
        <v>1572</v>
      </c>
      <c r="I26" s="101">
        <f t="shared" si="0"/>
        <v>1650.6000000000001</v>
      </c>
      <c r="J26" s="152">
        <v>0</v>
      </c>
      <c r="K26" s="99">
        <f t="shared" si="1"/>
        <v>0</v>
      </c>
      <c r="L26" s="99">
        <f>I26+K26</f>
        <v>1650.6000000000001</v>
      </c>
      <c r="M26" s="99">
        <f t="shared" si="2"/>
        <v>0</v>
      </c>
      <c r="N26" s="99">
        <f t="shared" si="3"/>
        <v>0</v>
      </c>
      <c r="O26" s="99">
        <f t="shared" si="4"/>
        <v>82.530000000000015</v>
      </c>
    </row>
    <row r="27" spans="1:15" ht="31.5">
      <c r="A27" s="147">
        <v>26</v>
      </c>
      <c r="B27" s="148">
        <v>42993</v>
      </c>
      <c r="C27" s="149">
        <v>0.66388888888888886</v>
      </c>
      <c r="D27" s="146" t="s">
        <v>167</v>
      </c>
      <c r="E27" s="150">
        <v>7.7</v>
      </c>
      <c r="F27" s="151" t="s">
        <v>81</v>
      </c>
      <c r="G27" s="106">
        <v>1</v>
      </c>
      <c r="H27" s="100">
        <v>1135</v>
      </c>
      <c r="I27" s="101">
        <f t="shared" si="0"/>
        <v>1191.75</v>
      </c>
      <c r="J27" s="152">
        <v>0</v>
      </c>
      <c r="K27" s="99">
        <f t="shared" si="1"/>
        <v>0</v>
      </c>
      <c r="L27" s="99">
        <f>I27+K27</f>
        <v>1191.75</v>
      </c>
      <c r="M27" s="99">
        <f t="shared" si="2"/>
        <v>0</v>
      </c>
      <c r="N27" s="99">
        <f t="shared" si="3"/>
        <v>0</v>
      </c>
      <c r="O27" s="99">
        <f t="shared" si="4"/>
        <v>59.587500000000006</v>
      </c>
    </row>
    <row r="28" spans="1:15" ht="31.5">
      <c r="A28" s="145">
        <v>27</v>
      </c>
      <c r="B28" s="148">
        <v>42993</v>
      </c>
      <c r="C28" s="149">
        <v>0.6645833333333333</v>
      </c>
      <c r="D28" s="146" t="s">
        <v>167</v>
      </c>
      <c r="E28" s="150">
        <v>7.7</v>
      </c>
      <c r="F28" s="151" t="s">
        <v>82</v>
      </c>
      <c r="G28" s="106">
        <v>1</v>
      </c>
      <c r="H28" s="100">
        <v>1135</v>
      </c>
      <c r="I28" s="101">
        <f t="shared" si="0"/>
        <v>1191.75</v>
      </c>
      <c r="J28" s="152">
        <v>0</v>
      </c>
      <c r="K28" s="99">
        <f t="shared" si="1"/>
        <v>0</v>
      </c>
      <c r="L28" s="99">
        <f>I28+K28</f>
        <v>1191.75</v>
      </c>
      <c r="M28" s="99">
        <f t="shared" si="2"/>
        <v>0</v>
      </c>
      <c r="N28" s="99">
        <f t="shared" si="3"/>
        <v>0</v>
      </c>
      <c r="O28" s="99">
        <f t="shared" si="4"/>
        <v>59.587500000000006</v>
      </c>
    </row>
    <row r="29" spans="1:15" ht="47.25">
      <c r="A29" s="147">
        <v>28</v>
      </c>
      <c r="B29" s="148">
        <v>42993</v>
      </c>
      <c r="C29" s="149">
        <v>0.66527777777777775</v>
      </c>
      <c r="D29" s="146" t="s">
        <v>167</v>
      </c>
      <c r="E29" s="150">
        <v>7.7</v>
      </c>
      <c r="F29" s="151" t="s">
        <v>83</v>
      </c>
      <c r="G29" s="106">
        <v>1</v>
      </c>
      <c r="H29" s="100">
        <v>1318</v>
      </c>
      <c r="I29" s="101">
        <f t="shared" si="0"/>
        <v>1383.9</v>
      </c>
      <c r="J29" s="152">
        <v>0</v>
      </c>
      <c r="K29" s="99">
        <f t="shared" si="1"/>
        <v>0</v>
      </c>
      <c r="L29" s="99">
        <f>I29+K29</f>
        <v>1383.9</v>
      </c>
      <c r="M29" s="99">
        <f t="shared" si="2"/>
        <v>0</v>
      </c>
      <c r="N29" s="99">
        <f t="shared" si="3"/>
        <v>0</v>
      </c>
      <c r="O29" s="99">
        <f t="shared" si="4"/>
        <v>69.195000000000007</v>
      </c>
    </row>
    <row r="30" spans="1:15" ht="31.5">
      <c r="A30" s="147">
        <v>29</v>
      </c>
      <c r="B30" s="148">
        <v>42993</v>
      </c>
      <c r="C30" s="149">
        <v>0.66736111111111107</v>
      </c>
      <c r="D30" s="146" t="s">
        <v>161</v>
      </c>
      <c r="E30" s="150">
        <v>7.7</v>
      </c>
      <c r="F30" s="151" t="s">
        <v>108</v>
      </c>
      <c r="G30" s="106">
        <v>1</v>
      </c>
      <c r="H30" s="158">
        <v>6270</v>
      </c>
      <c r="I30" s="101">
        <f t="shared" si="0"/>
        <v>6583.5</v>
      </c>
      <c r="J30" s="152">
        <v>0</v>
      </c>
      <c r="K30" s="99">
        <f t="shared" si="1"/>
        <v>0</v>
      </c>
      <c r="L30" s="99">
        <f>SUM(K30+I30)</f>
        <v>6583.5</v>
      </c>
      <c r="M30" s="99">
        <f t="shared" si="2"/>
        <v>0</v>
      </c>
      <c r="N30" s="99">
        <f t="shared" si="3"/>
        <v>0</v>
      </c>
      <c r="O30" s="99">
        <f t="shared" si="4"/>
        <v>329.17500000000001</v>
      </c>
    </row>
    <row r="31" spans="1:15" ht="47.25">
      <c r="A31" s="147">
        <v>30</v>
      </c>
      <c r="B31" s="148">
        <v>43000</v>
      </c>
      <c r="C31" s="149">
        <v>0.66666666666666663</v>
      </c>
      <c r="D31" s="146" t="s">
        <v>165</v>
      </c>
      <c r="E31" s="150" t="s">
        <v>172</v>
      </c>
      <c r="F31" s="156" t="s">
        <v>99</v>
      </c>
      <c r="G31" s="122">
        <v>3</v>
      </c>
      <c r="H31" s="100">
        <v>2850</v>
      </c>
      <c r="I31" s="101">
        <f t="shared" si="0"/>
        <v>2992.5</v>
      </c>
      <c r="J31" s="152">
        <v>6</v>
      </c>
      <c r="K31" s="99">
        <f>J31*51.324</f>
        <v>307.94399999999996</v>
      </c>
      <c r="L31" s="99">
        <f t="shared" ref="L31:L43" si="6">K31+I31</f>
        <v>3300.444</v>
      </c>
      <c r="M31" s="99">
        <f t="shared" si="2"/>
        <v>0</v>
      </c>
      <c r="N31" s="99">
        <f t="shared" si="3"/>
        <v>0</v>
      </c>
      <c r="O31" s="99">
        <f t="shared" si="4"/>
        <v>165.0222</v>
      </c>
    </row>
    <row r="32" spans="1:15" ht="47.25">
      <c r="A32" s="172">
        <v>31</v>
      </c>
      <c r="B32" s="168">
        <v>43000</v>
      </c>
      <c r="C32" s="169">
        <v>0.68194444444444446</v>
      </c>
      <c r="D32" s="160" t="s">
        <v>165</v>
      </c>
      <c r="E32" s="161" t="s">
        <v>170</v>
      </c>
      <c r="F32" s="173" t="s">
        <v>173</v>
      </c>
      <c r="G32" s="174">
        <v>2</v>
      </c>
      <c r="H32" s="175">
        <v>940</v>
      </c>
      <c r="I32" s="165">
        <f t="shared" si="0"/>
        <v>987</v>
      </c>
      <c r="J32" s="171">
        <v>3</v>
      </c>
      <c r="K32" s="167">
        <f>J32*51.324</f>
        <v>153.97199999999998</v>
      </c>
      <c r="L32" s="167">
        <f t="shared" si="6"/>
        <v>1140.972</v>
      </c>
      <c r="M32" s="167">
        <f t="shared" si="2"/>
        <v>0</v>
      </c>
      <c r="N32" s="167">
        <f t="shared" si="3"/>
        <v>0</v>
      </c>
      <c r="O32" s="167">
        <f t="shared" si="4"/>
        <v>57.0486</v>
      </c>
    </row>
    <row r="33" spans="1:15" ht="31.5">
      <c r="A33" s="147">
        <v>32</v>
      </c>
      <c r="B33" s="148">
        <v>42975</v>
      </c>
      <c r="C33" s="149">
        <v>0.47500000000000003</v>
      </c>
      <c r="D33" s="146" t="s">
        <v>162</v>
      </c>
      <c r="E33" s="150">
        <v>7.7</v>
      </c>
      <c r="F33" s="151" t="s">
        <v>51</v>
      </c>
      <c r="G33" s="106">
        <v>1</v>
      </c>
      <c r="H33" s="110">
        <v>2926.5</v>
      </c>
      <c r="I33" s="101">
        <f t="shared" si="0"/>
        <v>3072.8250000000003</v>
      </c>
      <c r="J33" s="152">
        <v>4</v>
      </c>
      <c r="K33" s="99">
        <f t="shared" ref="K33:K94" si="7">J33*51.324</f>
        <v>205.29599999999999</v>
      </c>
      <c r="L33" s="99">
        <f t="shared" si="6"/>
        <v>3278.1210000000001</v>
      </c>
      <c r="M33" s="99">
        <f t="shared" si="2"/>
        <v>0</v>
      </c>
      <c r="N33" s="99">
        <f t="shared" si="3"/>
        <v>0</v>
      </c>
      <c r="O33" s="99">
        <f t="shared" si="4"/>
        <v>163.90605000000002</v>
      </c>
    </row>
    <row r="34" spans="1:15" ht="31.5">
      <c r="A34" s="147">
        <v>33</v>
      </c>
      <c r="B34" s="148">
        <v>42978</v>
      </c>
      <c r="C34" s="149">
        <v>0.68402777777777779</v>
      </c>
      <c r="D34" s="146" t="s">
        <v>162</v>
      </c>
      <c r="E34" s="150">
        <v>7.7</v>
      </c>
      <c r="F34" s="151" t="s">
        <v>52</v>
      </c>
      <c r="G34" s="106">
        <v>1</v>
      </c>
      <c r="H34" s="100">
        <v>2539</v>
      </c>
      <c r="I34" s="101">
        <f t="shared" si="0"/>
        <v>2665.9500000000003</v>
      </c>
      <c r="J34" s="152">
        <v>5</v>
      </c>
      <c r="K34" s="99">
        <f t="shared" si="7"/>
        <v>256.62</v>
      </c>
      <c r="L34" s="99">
        <f t="shared" si="6"/>
        <v>2922.57</v>
      </c>
      <c r="M34" s="99">
        <f t="shared" si="2"/>
        <v>0</v>
      </c>
      <c r="N34" s="99">
        <f t="shared" si="3"/>
        <v>0</v>
      </c>
      <c r="O34" s="99">
        <f t="shared" si="4"/>
        <v>146.1285</v>
      </c>
    </row>
    <row r="35" spans="1:15" ht="31.5">
      <c r="A35" s="147">
        <v>34</v>
      </c>
      <c r="B35" s="148">
        <v>42978</v>
      </c>
      <c r="C35" s="149">
        <v>0.68611111111111101</v>
      </c>
      <c r="D35" s="146" t="s">
        <v>162</v>
      </c>
      <c r="E35" s="150">
        <v>7.7</v>
      </c>
      <c r="F35" s="151" t="s">
        <v>53</v>
      </c>
      <c r="G35" s="106">
        <v>1</v>
      </c>
      <c r="H35" s="100">
        <v>3496</v>
      </c>
      <c r="I35" s="101">
        <f t="shared" si="0"/>
        <v>3670.8</v>
      </c>
      <c r="J35" s="152">
        <v>2</v>
      </c>
      <c r="K35" s="99">
        <f t="shared" si="7"/>
        <v>102.648</v>
      </c>
      <c r="L35" s="99">
        <f t="shared" si="6"/>
        <v>3773.4480000000003</v>
      </c>
      <c r="M35" s="99">
        <f t="shared" si="2"/>
        <v>0</v>
      </c>
      <c r="N35" s="99">
        <f t="shared" si="3"/>
        <v>0</v>
      </c>
      <c r="O35" s="99">
        <f t="shared" si="4"/>
        <v>188.67240000000004</v>
      </c>
    </row>
    <row r="36" spans="1:15" ht="31.5">
      <c r="A36" s="145">
        <v>35</v>
      </c>
      <c r="B36" s="148">
        <v>42984</v>
      </c>
      <c r="C36" s="149">
        <v>0.41041666666666665</v>
      </c>
      <c r="D36" s="146" t="s">
        <v>162</v>
      </c>
      <c r="E36" s="150">
        <v>7.7</v>
      </c>
      <c r="F36" s="151" t="s">
        <v>54</v>
      </c>
      <c r="G36" s="106">
        <v>3</v>
      </c>
      <c r="H36" s="100">
        <v>3978.6</v>
      </c>
      <c r="I36" s="101">
        <f t="shared" si="0"/>
        <v>4177.53</v>
      </c>
      <c r="J36" s="176">
        <v>9</v>
      </c>
      <c r="K36" s="99">
        <f t="shared" si="7"/>
        <v>461.916</v>
      </c>
      <c r="L36" s="99">
        <f t="shared" si="6"/>
        <v>4639.4459999999999</v>
      </c>
      <c r="M36" s="99">
        <f t="shared" si="2"/>
        <v>0</v>
      </c>
      <c r="N36" s="99">
        <f t="shared" si="3"/>
        <v>0</v>
      </c>
      <c r="O36" s="99">
        <f t="shared" si="4"/>
        <v>231.97230000000002</v>
      </c>
    </row>
    <row r="37" spans="1:15" ht="31.5">
      <c r="A37" s="147">
        <v>36</v>
      </c>
      <c r="B37" s="148">
        <v>42984</v>
      </c>
      <c r="C37" s="149">
        <v>0.41111111111111115</v>
      </c>
      <c r="D37" s="146" t="s">
        <v>162</v>
      </c>
      <c r="E37" s="150">
        <v>7.7</v>
      </c>
      <c r="F37" s="151" t="s">
        <v>55</v>
      </c>
      <c r="G37" s="106">
        <v>1</v>
      </c>
      <c r="H37" s="100">
        <v>2285</v>
      </c>
      <c r="I37" s="101">
        <f t="shared" si="0"/>
        <v>2399.25</v>
      </c>
      <c r="J37" s="176">
        <v>3</v>
      </c>
      <c r="K37" s="99">
        <f t="shared" si="7"/>
        <v>153.97199999999998</v>
      </c>
      <c r="L37" s="99">
        <f t="shared" si="6"/>
        <v>2553.2219999999998</v>
      </c>
      <c r="M37" s="99">
        <f t="shared" si="2"/>
        <v>0</v>
      </c>
      <c r="N37" s="99">
        <f t="shared" si="3"/>
        <v>0</v>
      </c>
      <c r="O37" s="99">
        <f t="shared" si="4"/>
        <v>127.66109999999999</v>
      </c>
    </row>
    <row r="38" spans="1:15" ht="31.5">
      <c r="A38" s="147">
        <v>37</v>
      </c>
      <c r="B38" s="148">
        <v>42984</v>
      </c>
      <c r="C38" s="149">
        <v>0.40763888888888888</v>
      </c>
      <c r="D38" s="146" t="s">
        <v>162</v>
      </c>
      <c r="E38" s="150">
        <v>7.7</v>
      </c>
      <c r="F38" s="151" t="s">
        <v>56</v>
      </c>
      <c r="G38" s="106">
        <v>1</v>
      </c>
      <c r="H38" s="100">
        <v>2943</v>
      </c>
      <c r="I38" s="101">
        <f t="shared" si="0"/>
        <v>3090.15</v>
      </c>
      <c r="J38" s="176">
        <v>3</v>
      </c>
      <c r="K38" s="99">
        <f t="shared" si="7"/>
        <v>153.97199999999998</v>
      </c>
      <c r="L38" s="99">
        <f t="shared" si="6"/>
        <v>3244.1220000000003</v>
      </c>
      <c r="M38" s="99">
        <f t="shared" si="2"/>
        <v>0</v>
      </c>
      <c r="N38" s="99">
        <f t="shared" si="3"/>
        <v>0</v>
      </c>
      <c r="O38" s="99">
        <f t="shared" si="4"/>
        <v>162.20610000000002</v>
      </c>
    </row>
    <row r="39" spans="1:15" ht="31.5">
      <c r="A39" s="147">
        <v>38</v>
      </c>
      <c r="B39" s="148">
        <v>42984</v>
      </c>
      <c r="C39" s="149">
        <v>0.40833333333333338</v>
      </c>
      <c r="D39" s="146" t="s">
        <v>162</v>
      </c>
      <c r="E39" s="150">
        <v>7.7</v>
      </c>
      <c r="F39" s="151" t="s">
        <v>57</v>
      </c>
      <c r="G39" s="106">
        <v>1</v>
      </c>
      <c r="H39" s="100">
        <v>835</v>
      </c>
      <c r="I39" s="101">
        <f t="shared" si="0"/>
        <v>876.75</v>
      </c>
      <c r="J39" s="152">
        <v>2</v>
      </c>
      <c r="K39" s="99">
        <f t="shared" si="7"/>
        <v>102.648</v>
      </c>
      <c r="L39" s="99">
        <f t="shared" si="6"/>
        <v>979.39800000000002</v>
      </c>
      <c r="M39" s="99">
        <f t="shared" si="2"/>
        <v>0</v>
      </c>
      <c r="N39" s="99">
        <f t="shared" si="3"/>
        <v>0</v>
      </c>
      <c r="O39" s="99">
        <f t="shared" si="4"/>
        <v>48.969900000000003</v>
      </c>
    </row>
    <row r="40" spans="1:15" ht="31.5">
      <c r="A40" s="145">
        <v>39</v>
      </c>
      <c r="B40" s="148">
        <v>42984</v>
      </c>
      <c r="C40" s="149">
        <v>0.40972222222222227</v>
      </c>
      <c r="D40" s="146" t="s">
        <v>162</v>
      </c>
      <c r="E40" s="150">
        <v>7.7</v>
      </c>
      <c r="F40" s="151" t="s">
        <v>58</v>
      </c>
      <c r="G40" s="106">
        <v>1</v>
      </c>
      <c r="H40" s="100">
        <v>2376.15</v>
      </c>
      <c r="I40" s="101">
        <f t="shared" si="0"/>
        <v>2494.9575</v>
      </c>
      <c r="J40" s="152">
        <v>2</v>
      </c>
      <c r="K40" s="99">
        <f t="shared" si="7"/>
        <v>102.648</v>
      </c>
      <c r="L40" s="99">
        <f t="shared" si="6"/>
        <v>2597.6055000000001</v>
      </c>
      <c r="M40" s="99">
        <f t="shared" si="2"/>
        <v>0</v>
      </c>
      <c r="N40" s="99">
        <f t="shared" si="3"/>
        <v>0</v>
      </c>
      <c r="O40" s="99">
        <f t="shared" si="4"/>
        <v>129.88027500000001</v>
      </c>
    </row>
    <row r="41" spans="1:15" ht="31.5">
      <c r="A41" s="147">
        <v>40</v>
      </c>
      <c r="B41" s="148">
        <v>42986</v>
      </c>
      <c r="C41" s="149">
        <v>0.6069444444444444</v>
      </c>
      <c r="D41" s="146" t="s">
        <v>174</v>
      </c>
      <c r="E41" s="150">
        <v>7.5</v>
      </c>
      <c r="F41" s="151" t="s">
        <v>129</v>
      </c>
      <c r="G41" s="106">
        <v>1</v>
      </c>
      <c r="H41" s="100">
        <v>1590</v>
      </c>
      <c r="I41" s="101">
        <f t="shared" si="0"/>
        <v>1669.5</v>
      </c>
      <c r="J41" s="152">
        <v>3</v>
      </c>
      <c r="K41" s="99">
        <f t="shared" si="7"/>
        <v>153.97199999999998</v>
      </c>
      <c r="L41" s="99">
        <f t="shared" si="6"/>
        <v>1823.472</v>
      </c>
      <c r="M41" s="99">
        <f t="shared" si="2"/>
        <v>0</v>
      </c>
      <c r="N41" s="99">
        <f t="shared" si="3"/>
        <v>0</v>
      </c>
      <c r="O41" s="99">
        <f t="shared" si="4"/>
        <v>91.173600000000008</v>
      </c>
    </row>
    <row r="42" spans="1:15" ht="47.25">
      <c r="A42" s="159">
        <v>41</v>
      </c>
      <c r="B42" s="168">
        <v>42993</v>
      </c>
      <c r="C42" s="169">
        <v>0.41736111111111113</v>
      </c>
      <c r="D42" s="160" t="s">
        <v>166</v>
      </c>
      <c r="E42" s="161">
        <v>7.4</v>
      </c>
      <c r="F42" s="162" t="s">
        <v>144</v>
      </c>
      <c r="G42" s="163">
        <v>3</v>
      </c>
      <c r="H42" s="177">
        <v>1966</v>
      </c>
      <c r="I42" s="165">
        <f t="shared" si="0"/>
        <v>2064.3000000000002</v>
      </c>
      <c r="J42" s="171">
        <v>3</v>
      </c>
      <c r="K42" s="167">
        <f t="shared" si="7"/>
        <v>153.97199999999998</v>
      </c>
      <c r="L42" s="167">
        <f t="shared" si="6"/>
        <v>2218.2719999999999</v>
      </c>
      <c r="M42" s="167">
        <f t="shared" si="2"/>
        <v>0</v>
      </c>
      <c r="N42" s="167">
        <f t="shared" si="3"/>
        <v>0</v>
      </c>
      <c r="O42" s="167">
        <f t="shared" si="4"/>
        <v>110.9136</v>
      </c>
    </row>
    <row r="43" spans="1:15" ht="47.25">
      <c r="A43" s="159">
        <v>42</v>
      </c>
      <c r="B43" s="168">
        <v>42993</v>
      </c>
      <c r="C43" s="169">
        <v>0.41805555555555557</v>
      </c>
      <c r="D43" s="160" t="s">
        <v>166</v>
      </c>
      <c r="E43" s="161">
        <v>7.4</v>
      </c>
      <c r="F43" s="162" t="s">
        <v>175</v>
      </c>
      <c r="G43" s="163">
        <v>3</v>
      </c>
      <c r="H43" s="177">
        <v>1508</v>
      </c>
      <c r="I43" s="165">
        <f t="shared" si="0"/>
        <v>1583.4</v>
      </c>
      <c r="J43" s="171">
        <v>3</v>
      </c>
      <c r="K43" s="167">
        <f t="shared" si="7"/>
        <v>153.97199999999998</v>
      </c>
      <c r="L43" s="167">
        <f t="shared" si="6"/>
        <v>1737.3720000000001</v>
      </c>
      <c r="M43" s="167">
        <f t="shared" si="2"/>
        <v>0</v>
      </c>
      <c r="N43" s="167">
        <f t="shared" si="3"/>
        <v>0</v>
      </c>
      <c r="O43" s="167">
        <f t="shared" si="4"/>
        <v>86.868600000000015</v>
      </c>
    </row>
    <row r="44" spans="1:15" ht="47.25">
      <c r="A44" s="145">
        <v>43</v>
      </c>
      <c r="B44" s="148">
        <v>42985</v>
      </c>
      <c r="C44" s="149">
        <v>0.62986111111111109</v>
      </c>
      <c r="D44" s="146" t="s">
        <v>164</v>
      </c>
      <c r="E44" s="150">
        <v>7.3250000000000002</v>
      </c>
      <c r="F44" s="151" t="s">
        <v>130</v>
      </c>
      <c r="G44" s="106">
        <v>4</v>
      </c>
      <c r="H44" s="100">
        <v>4759</v>
      </c>
      <c r="I44" s="101">
        <f t="shared" si="0"/>
        <v>4996.95</v>
      </c>
      <c r="J44" s="152">
        <v>4</v>
      </c>
      <c r="K44" s="99">
        <f t="shared" si="7"/>
        <v>205.29599999999999</v>
      </c>
      <c r="L44" s="99">
        <f>I44+K44</f>
        <v>5202.2460000000001</v>
      </c>
      <c r="M44" s="99">
        <f t="shared" si="2"/>
        <v>0</v>
      </c>
      <c r="N44" s="99">
        <f t="shared" si="3"/>
        <v>0</v>
      </c>
      <c r="O44" s="99">
        <f t="shared" si="4"/>
        <v>260.1123</v>
      </c>
    </row>
    <row r="45" spans="1:15" ht="31.5">
      <c r="A45" s="159">
        <v>44</v>
      </c>
      <c r="B45" s="168">
        <v>42975</v>
      </c>
      <c r="C45" s="169">
        <v>0.47569444444444442</v>
      </c>
      <c r="D45" s="160" t="s">
        <v>162</v>
      </c>
      <c r="E45" s="161">
        <v>7.2</v>
      </c>
      <c r="F45" s="162" t="s">
        <v>59</v>
      </c>
      <c r="G45" s="163">
        <v>1</v>
      </c>
      <c r="H45" s="164">
        <v>638.5</v>
      </c>
      <c r="I45" s="165">
        <f t="shared" si="0"/>
        <v>670.42500000000007</v>
      </c>
      <c r="J45" s="166">
        <v>2</v>
      </c>
      <c r="K45" s="167">
        <f t="shared" si="7"/>
        <v>102.648</v>
      </c>
      <c r="L45" s="167">
        <f>K45+I45</f>
        <v>773.07300000000009</v>
      </c>
      <c r="M45" s="167">
        <f t="shared" si="2"/>
        <v>0</v>
      </c>
      <c r="N45" s="167">
        <f t="shared" si="3"/>
        <v>0</v>
      </c>
      <c r="O45" s="167">
        <f t="shared" si="4"/>
        <v>38.653650000000006</v>
      </c>
    </row>
    <row r="46" spans="1:15" ht="31.5">
      <c r="A46" s="159">
        <v>45</v>
      </c>
      <c r="B46" s="168">
        <v>42985</v>
      </c>
      <c r="C46" s="169">
        <v>0.62361111111111112</v>
      </c>
      <c r="D46" s="160" t="s">
        <v>164</v>
      </c>
      <c r="E46" s="161">
        <v>7.2</v>
      </c>
      <c r="F46" s="162" t="s">
        <v>176</v>
      </c>
      <c r="G46" s="163">
        <v>2</v>
      </c>
      <c r="H46" s="175">
        <v>2158</v>
      </c>
      <c r="I46" s="165">
        <f t="shared" si="0"/>
        <v>2265.9</v>
      </c>
      <c r="J46" s="171">
        <v>2</v>
      </c>
      <c r="K46" s="167">
        <f t="shared" si="7"/>
        <v>102.648</v>
      </c>
      <c r="L46" s="167">
        <f>I46+K46</f>
        <v>2368.5480000000002</v>
      </c>
      <c r="M46" s="167">
        <f t="shared" si="2"/>
        <v>0</v>
      </c>
      <c r="N46" s="167">
        <f t="shared" si="3"/>
        <v>0</v>
      </c>
      <c r="O46" s="167">
        <f t="shared" si="4"/>
        <v>118.42740000000002</v>
      </c>
    </row>
    <row r="47" spans="1:15" ht="47.25">
      <c r="A47" s="159">
        <v>46</v>
      </c>
      <c r="B47" s="168">
        <v>42991</v>
      </c>
      <c r="C47" s="169">
        <v>0.68888888888888899</v>
      </c>
      <c r="D47" s="160" t="s">
        <v>166</v>
      </c>
      <c r="E47" s="161">
        <v>7.2</v>
      </c>
      <c r="F47" s="162" t="s">
        <v>145</v>
      </c>
      <c r="G47" s="163">
        <v>2</v>
      </c>
      <c r="H47" s="177">
        <v>1323</v>
      </c>
      <c r="I47" s="165">
        <f t="shared" si="0"/>
        <v>1389.15</v>
      </c>
      <c r="J47" s="171">
        <v>2</v>
      </c>
      <c r="K47" s="167">
        <f t="shared" si="7"/>
        <v>102.648</v>
      </c>
      <c r="L47" s="167">
        <f>K47+I47</f>
        <v>1491.798</v>
      </c>
      <c r="M47" s="167">
        <f t="shared" si="2"/>
        <v>0</v>
      </c>
      <c r="N47" s="167">
        <f t="shared" si="3"/>
        <v>0</v>
      </c>
      <c r="O47" s="167">
        <f t="shared" si="4"/>
        <v>74.5899</v>
      </c>
    </row>
    <row r="48" spans="1:15" ht="31.5">
      <c r="A48" s="145">
        <v>47</v>
      </c>
      <c r="B48" s="148">
        <v>42993</v>
      </c>
      <c r="C48" s="149">
        <v>0.63611111111111118</v>
      </c>
      <c r="D48" s="146" t="s">
        <v>167</v>
      </c>
      <c r="E48" s="150">
        <v>7.2</v>
      </c>
      <c r="F48" s="151" t="s">
        <v>84</v>
      </c>
      <c r="G48" s="106">
        <v>1</v>
      </c>
      <c r="H48" s="100">
        <v>827</v>
      </c>
      <c r="I48" s="101">
        <f t="shared" si="0"/>
        <v>868.35</v>
      </c>
      <c r="J48" s="152">
        <v>0</v>
      </c>
      <c r="K48" s="99">
        <f t="shared" si="7"/>
        <v>0</v>
      </c>
      <c r="L48" s="99">
        <f t="shared" ref="L48:L55" si="8">I48+K48</f>
        <v>868.35</v>
      </c>
      <c r="M48" s="99">
        <f t="shared" si="2"/>
        <v>0</v>
      </c>
      <c r="N48" s="99">
        <f t="shared" si="3"/>
        <v>0</v>
      </c>
      <c r="O48" s="99">
        <f t="shared" si="4"/>
        <v>43.417500000000004</v>
      </c>
    </row>
    <row r="49" spans="1:15" ht="31.5">
      <c r="A49" s="147">
        <v>48</v>
      </c>
      <c r="B49" s="148">
        <v>42993</v>
      </c>
      <c r="C49" s="149">
        <v>0.6430555555555556</v>
      </c>
      <c r="D49" s="146" t="s">
        <v>167</v>
      </c>
      <c r="E49" s="150">
        <v>7.2</v>
      </c>
      <c r="F49" s="151" t="s">
        <v>85</v>
      </c>
      <c r="G49" s="106">
        <v>1</v>
      </c>
      <c r="H49" s="100">
        <v>821</v>
      </c>
      <c r="I49" s="101">
        <f t="shared" si="0"/>
        <v>862.05000000000007</v>
      </c>
      <c r="J49" s="152">
        <v>2</v>
      </c>
      <c r="K49" s="99">
        <f t="shared" si="7"/>
        <v>102.648</v>
      </c>
      <c r="L49" s="99">
        <f t="shared" si="8"/>
        <v>964.69800000000009</v>
      </c>
      <c r="M49" s="99">
        <f t="shared" si="2"/>
        <v>0</v>
      </c>
      <c r="N49" s="99">
        <f t="shared" si="3"/>
        <v>0</v>
      </c>
      <c r="O49" s="99">
        <f t="shared" si="4"/>
        <v>48.23490000000001</v>
      </c>
    </row>
    <row r="50" spans="1:15" ht="47.25">
      <c r="A50" s="147">
        <v>49</v>
      </c>
      <c r="B50" s="148">
        <v>42993</v>
      </c>
      <c r="C50" s="149">
        <v>0.65555555555555556</v>
      </c>
      <c r="D50" s="146" t="s">
        <v>167</v>
      </c>
      <c r="E50" s="150">
        <v>7.2</v>
      </c>
      <c r="F50" s="151" t="s">
        <v>86</v>
      </c>
      <c r="G50" s="106">
        <v>1</v>
      </c>
      <c r="H50" s="100">
        <v>832</v>
      </c>
      <c r="I50" s="101">
        <f t="shared" si="0"/>
        <v>873.6</v>
      </c>
      <c r="J50" s="152">
        <v>4</v>
      </c>
      <c r="K50" s="99">
        <f t="shared" si="7"/>
        <v>205.29599999999999</v>
      </c>
      <c r="L50" s="99">
        <f t="shared" si="8"/>
        <v>1078.896</v>
      </c>
      <c r="M50" s="99">
        <f t="shared" si="2"/>
        <v>0</v>
      </c>
      <c r="N50" s="99">
        <f t="shared" si="3"/>
        <v>0</v>
      </c>
      <c r="O50" s="99">
        <f t="shared" si="4"/>
        <v>53.944800000000001</v>
      </c>
    </row>
    <row r="51" spans="1:15" ht="15.75">
      <c r="A51" s="147">
        <v>49</v>
      </c>
      <c r="B51" s="148"/>
      <c r="C51" s="149"/>
      <c r="D51" s="146"/>
      <c r="E51" s="150"/>
      <c r="F51" s="154" t="s">
        <v>177</v>
      </c>
      <c r="G51" s="178">
        <f t="shared" ref="G51:O51" si="9">SUM(G6:G50)</f>
        <v>70</v>
      </c>
      <c r="H51" s="157">
        <f t="shared" si="9"/>
        <v>102329.75</v>
      </c>
      <c r="I51" s="155">
        <f t="shared" si="9"/>
        <v>107446.23749999999</v>
      </c>
      <c r="J51" s="178">
        <f t="shared" si="9"/>
        <v>120</v>
      </c>
      <c r="K51" s="155">
        <f t="shared" si="9"/>
        <v>6158.8799999999992</v>
      </c>
      <c r="L51" s="155">
        <f t="shared" si="9"/>
        <v>113605.11749999999</v>
      </c>
      <c r="M51" s="155">
        <f t="shared" si="9"/>
        <v>0</v>
      </c>
      <c r="N51" s="155">
        <f t="shared" si="9"/>
        <v>0</v>
      </c>
      <c r="O51" s="155">
        <f t="shared" si="9"/>
        <v>5680.2558750000007</v>
      </c>
    </row>
    <row r="52" spans="1:15" ht="15.75">
      <c r="A52" s="433">
        <v>2020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</row>
    <row r="53" spans="1:15" ht="31.5">
      <c r="A53" s="145">
        <v>1</v>
      </c>
      <c r="B53" s="148">
        <v>42993</v>
      </c>
      <c r="C53" s="149">
        <v>0.65625</v>
      </c>
      <c r="D53" s="146" t="s">
        <v>167</v>
      </c>
      <c r="E53" s="150">
        <v>7.2</v>
      </c>
      <c r="F53" s="151" t="s">
        <v>87</v>
      </c>
      <c r="G53" s="106">
        <v>1</v>
      </c>
      <c r="H53" s="100">
        <v>1920</v>
      </c>
      <c r="I53" s="101">
        <f>H53*1.02</f>
        <v>1958.4</v>
      </c>
      <c r="J53" s="152">
        <v>1</v>
      </c>
      <c r="K53" s="99">
        <f t="shared" si="7"/>
        <v>51.323999999999998</v>
      </c>
      <c r="L53" s="99">
        <f t="shared" si="8"/>
        <v>2009.7240000000002</v>
      </c>
      <c r="M53" s="99">
        <f t="shared" ref="M53:M94" si="10">L53*R53</f>
        <v>0</v>
      </c>
      <c r="N53" s="99">
        <f t="shared" ref="N53:N94" si="11">L53*S53</f>
        <v>0</v>
      </c>
      <c r="O53" s="99">
        <f t="shared" si="4"/>
        <v>100.48620000000001</v>
      </c>
    </row>
    <row r="54" spans="1:15" ht="31.5">
      <c r="A54" s="147">
        <v>2</v>
      </c>
      <c r="B54" s="148">
        <v>42993</v>
      </c>
      <c r="C54" s="149">
        <v>0.66180555555555554</v>
      </c>
      <c r="D54" s="146" t="s">
        <v>167</v>
      </c>
      <c r="E54" s="150">
        <v>7.2</v>
      </c>
      <c r="F54" s="151" t="s">
        <v>88</v>
      </c>
      <c r="G54" s="106">
        <v>2</v>
      </c>
      <c r="H54" s="100">
        <v>1560</v>
      </c>
      <c r="I54" s="101">
        <f t="shared" ref="I54:I62" si="12">H54*1.02</f>
        <v>1591.2</v>
      </c>
      <c r="J54" s="152">
        <v>4</v>
      </c>
      <c r="K54" s="99">
        <f t="shared" si="7"/>
        <v>205.29599999999999</v>
      </c>
      <c r="L54" s="99">
        <f t="shared" si="8"/>
        <v>1796.4960000000001</v>
      </c>
      <c r="M54" s="99">
        <f t="shared" si="10"/>
        <v>0</v>
      </c>
      <c r="N54" s="99">
        <f t="shared" si="11"/>
        <v>0</v>
      </c>
      <c r="O54" s="99">
        <f t="shared" si="4"/>
        <v>89.82480000000001</v>
      </c>
    </row>
    <row r="55" spans="1:15" ht="31.5">
      <c r="A55" s="159">
        <v>3</v>
      </c>
      <c r="B55" s="168">
        <v>43000</v>
      </c>
      <c r="C55" s="169">
        <v>0.67569444444444438</v>
      </c>
      <c r="D55" s="160" t="s">
        <v>168</v>
      </c>
      <c r="E55" s="161">
        <v>7.2</v>
      </c>
      <c r="F55" s="173" t="s">
        <v>178</v>
      </c>
      <c r="G55" s="174">
        <v>1</v>
      </c>
      <c r="H55" s="175">
        <v>884</v>
      </c>
      <c r="I55" s="165">
        <f t="shared" si="12"/>
        <v>901.68000000000006</v>
      </c>
      <c r="J55" s="171">
        <v>0</v>
      </c>
      <c r="K55" s="167">
        <f t="shared" si="7"/>
        <v>0</v>
      </c>
      <c r="L55" s="167">
        <f t="shared" si="8"/>
        <v>901.68000000000006</v>
      </c>
      <c r="M55" s="167">
        <f t="shared" si="10"/>
        <v>0</v>
      </c>
      <c r="N55" s="167">
        <f t="shared" si="11"/>
        <v>0</v>
      </c>
      <c r="O55" s="167">
        <f t="shared" si="4"/>
        <v>45.084000000000003</v>
      </c>
    </row>
    <row r="56" spans="1:15" ht="31.5">
      <c r="A56" s="145">
        <v>4</v>
      </c>
      <c r="B56" s="148">
        <v>43000</v>
      </c>
      <c r="C56" s="149">
        <v>0.68680555555555556</v>
      </c>
      <c r="D56" s="146" t="s">
        <v>165</v>
      </c>
      <c r="E56" s="150">
        <v>7.2</v>
      </c>
      <c r="F56" s="156" t="s">
        <v>103</v>
      </c>
      <c r="G56" s="122">
        <v>1</v>
      </c>
      <c r="H56" s="100">
        <v>446</v>
      </c>
      <c r="I56" s="101">
        <f t="shared" si="12"/>
        <v>454.92</v>
      </c>
      <c r="J56" s="152">
        <v>2</v>
      </c>
      <c r="K56" s="99">
        <f t="shared" si="7"/>
        <v>102.648</v>
      </c>
      <c r="L56" s="99">
        <f>K56+I56</f>
        <v>557.56799999999998</v>
      </c>
      <c r="M56" s="99">
        <f t="shared" si="10"/>
        <v>0</v>
      </c>
      <c r="N56" s="99">
        <f t="shared" si="11"/>
        <v>0</v>
      </c>
      <c r="O56" s="99">
        <f t="shared" si="4"/>
        <v>27.878399999999999</v>
      </c>
    </row>
    <row r="57" spans="1:15" ht="31.5">
      <c r="A57" s="147">
        <v>5</v>
      </c>
      <c r="B57" s="148">
        <v>43000</v>
      </c>
      <c r="C57" s="149">
        <v>0.66111111111111109</v>
      </c>
      <c r="D57" s="146" t="s">
        <v>179</v>
      </c>
      <c r="E57" s="150">
        <v>7.1</v>
      </c>
      <c r="F57" s="156" t="s">
        <v>19</v>
      </c>
      <c r="G57" s="122">
        <v>1</v>
      </c>
      <c r="H57" s="100">
        <v>1537.13</v>
      </c>
      <c r="I57" s="101">
        <f t="shared" si="12"/>
        <v>1567.8726000000001</v>
      </c>
      <c r="J57" s="152">
        <v>5</v>
      </c>
      <c r="K57" s="99">
        <f t="shared" si="7"/>
        <v>256.62</v>
      </c>
      <c r="L57" s="99">
        <f>K57+I57</f>
        <v>1824.4926</v>
      </c>
      <c r="M57" s="99">
        <f t="shared" si="10"/>
        <v>0</v>
      </c>
      <c r="N57" s="99">
        <f t="shared" si="11"/>
        <v>0</v>
      </c>
      <c r="O57" s="99">
        <f t="shared" si="4"/>
        <v>91.224630000000005</v>
      </c>
    </row>
    <row r="58" spans="1:15" ht="47.25">
      <c r="A58" s="145">
        <v>6</v>
      </c>
      <c r="B58" s="148">
        <v>42985</v>
      </c>
      <c r="C58" s="149">
        <v>0.625</v>
      </c>
      <c r="D58" s="146" t="s">
        <v>164</v>
      </c>
      <c r="E58" s="150">
        <v>6.95</v>
      </c>
      <c r="F58" s="151" t="s">
        <v>131</v>
      </c>
      <c r="G58" s="106">
        <v>2</v>
      </c>
      <c r="H58" s="100">
        <v>3064</v>
      </c>
      <c r="I58" s="101">
        <f t="shared" si="12"/>
        <v>3125.28</v>
      </c>
      <c r="J58" s="152">
        <v>4</v>
      </c>
      <c r="K58" s="99">
        <f t="shared" si="7"/>
        <v>205.29599999999999</v>
      </c>
      <c r="L58" s="99">
        <f>I58+K58</f>
        <v>3330.576</v>
      </c>
      <c r="M58" s="99">
        <f t="shared" si="10"/>
        <v>0</v>
      </c>
      <c r="N58" s="99">
        <f t="shared" si="11"/>
        <v>0</v>
      </c>
      <c r="O58" s="99">
        <f t="shared" si="4"/>
        <v>166.52880000000002</v>
      </c>
    </row>
    <row r="59" spans="1:15" ht="31.5">
      <c r="A59" s="147">
        <v>7</v>
      </c>
      <c r="B59" s="148">
        <v>42985</v>
      </c>
      <c r="C59" s="149">
        <v>0.62847222222222221</v>
      </c>
      <c r="D59" s="146" t="s">
        <v>164</v>
      </c>
      <c r="E59" s="150">
        <v>6.95</v>
      </c>
      <c r="F59" s="151" t="s">
        <v>132</v>
      </c>
      <c r="G59" s="106">
        <v>2</v>
      </c>
      <c r="H59" s="100">
        <v>5482</v>
      </c>
      <c r="I59" s="101">
        <f t="shared" si="12"/>
        <v>5591.64</v>
      </c>
      <c r="J59" s="152">
        <v>2</v>
      </c>
      <c r="K59" s="99">
        <f t="shared" si="7"/>
        <v>102.648</v>
      </c>
      <c r="L59" s="99">
        <f>I59+K59</f>
        <v>5694.2880000000005</v>
      </c>
      <c r="M59" s="99">
        <f t="shared" si="10"/>
        <v>0</v>
      </c>
      <c r="N59" s="99">
        <f t="shared" si="11"/>
        <v>0</v>
      </c>
      <c r="O59" s="99">
        <f t="shared" si="4"/>
        <v>284.71440000000001</v>
      </c>
    </row>
    <row r="60" spans="1:15" ht="47.25">
      <c r="A60" s="147">
        <v>8</v>
      </c>
      <c r="B60" s="148">
        <v>42992</v>
      </c>
      <c r="C60" s="149">
        <v>0.71250000000000002</v>
      </c>
      <c r="D60" s="146" t="s">
        <v>161</v>
      </c>
      <c r="E60" s="150">
        <v>6.95</v>
      </c>
      <c r="F60" s="151" t="s">
        <v>124</v>
      </c>
      <c r="G60" s="106">
        <v>2</v>
      </c>
      <c r="H60" s="158">
        <v>4369</v>
      </c>
      <c r="I60" s="101">
        <f t="shared" si="12"/>
        <v>4456.38</v>
      </c>
      <c r="J60" s="152">
        <v>6</v>
      </c>
      <c r="K60" s="99">
        <f t="shared" si="7"/>
        <v>307.94399999999996</v>
      </c>
      <c r="L60" s="99">
        <f>SUM(K60+I60)</f>
        <v>4764.3240000000005</v>
      </c>
      <c r="M60" s="99">
        <f t="shared" si="10"/>
        <v>0</v>
      </c>
      <c r="N60" s="99">
        <f t="shared" si="11"/>
        <v>0</v>
      </c>
      <c r="O60" s="99">
        <f t="shared" si="4"/>
        <v>238.21620000000004</v>
      </c>
    </row>
    <row r="61" spans="1:15" ht="31.5">
      <c r="A61" s="145">
        <v>9</v>
      </c>
      <c r="B61" s="148">
        <v>42992</v>
      </c>
      <c r="C61" s="149">
        <v>0.71319444444444446</v>
      </c>
      <c r="D61" s="146" t="s">
        <v>161</v>
      </c>
      <c r="E61" s="150">
        <v>6.95</v>
      </c>
      <c r="F61" s="151" t="s">
        <v>125</v>
      </c>
      <c r="G61" s="106">
        <v>2</v>
      </c>
      <c r="H61" s="158">
        <v>6489.6</v>
      </c>
      <c r="I61" s="101">
        <f t="shared" si="12"/>
        <v>6619.3920000000007</v>
      </c>
      <c r="J61" s="152">
        <v>6</v>
      </c>
      <c r="K61" s="99">
        <f t="shared" si="7"/>
        <v>307.94399999999996</v>
      </c>
      <c r="L61" s="99">
        <f>SUM(K61+I61)</f>
        <v>6927.3360000000011</v>
      </c>
      <c r="M61" s="99">
        <f t="shared" si="10"/>
        <v>0</v>
      </c>
      <c r="N61" s="99">
        <f t="shared" si="11"/>
        <v>0</v>
      </c>
      <c r="O61" s="99">
        <f t="shared" si="4"/>
        <v>346.36680000000007</v>
      </c>
    </row>
    <row r="62" spans="1:15" ht="31.5">
      <c r="A62" s="147">
        <v>10</v>
      </c>
      <c r="B62" s="148">
        <v>42992</v>
      </c>
      <c r="C62" s="149">
        <v>0.72361111111111109</v>
      </c>
      <c r="D62" s="146" t="s">
        <v>161</v>
      </c>
      <c r="E62" s="150">
        <v>6.95</v>
      </c>
      <c r="F62" s="151" t="s">
        <v>126</v>
      </c>
      <c r="G62" s="106">
        <v>2</v>
      </c>
      <c r="H62" s="158">
        <v>3946</v>
      </c>
      <c r="I62" s="101">
        <f t="shared" si="12"/>
        <v>4024.92</v>
      </c>
      <c r="J62" s="152">
        <v>3</v>
      </c>
      <c r="K62" s="99">
        <f t="shared" si="7"/>
        <v>153.97199999999998</v>
      </c>
      <c r="L62" s="99">
        <f>SUM(K62+I62)</f>
        <v>4178.8919999999998</v>
      </c>
      <c r="M62" s="99">
        <f t="shared" si="10"/>
        <v>0</v>
      </c>
      <c r="N62" s="99">
        <f t="shared" si="11"/>
        <v>0</v>
      </c>
      <c r="O62" s="99">
        <f t="shared" si="4"/>
        <v>208.94460000000001</v>
      </c>
    </row>
    <row r="63" spans="1:15" ht="31.5">
      <c r="A63" s="145">
        <v>11</v>
      </c>
      <c r="B63" s="148">
        <v>42993</v>
      </c>
      <c r="C63" s="149">
        <v>0.6479166666666667</v>
      </c>
      <c r="D63" s="146" t="s">
        <v>167</v>
      </c>
      <c r="E63" s="150">
        <v>6.95</v>
      </c>
      <c r="F63" s="151" t="s">
        <v>89</v>
      </c>
      <c r="G63" s="106">
        <v>1</v>
      </c>
      <c r="H63" s="100">
        <v>2642</v>
      </c>
      <c r="I63" s="101">
        <v>2704.8310000000001</v>
      </c>
      <c r="J63" s="152">
        <v>8</v>
      </c>
      <c r="K63" s="99">
        <f t="shared" si="7"/>
        <v>410.59199999999998</v>
      </c>
      <c r="L63" s="99">
        <f>I63+K63</f>
        <v>3115.4230000000002</v>
      </c>
      <c r="M63" s="99">
        <f t="shared" si="10"/>
        <v>0</v>
      </c>
      <c r="N63" s="99">
        <f t="shared" si="11"/>
        <v>0</v>
      </c>
      <c r="O63" s="99">
        <f t="shared" si="4"/>
        <v>155.77115000000003</v>
      </c>
    </row>
    <row r="64" spans="1:15" ht="31.5">
      <c r="A64" s="147">
        <v>12</v>
      </c>
      <c r="B64" s="148">
        <v>42993</v>
      </c>
      <c r="C64" s="149">
        <v>0.64930555555555558</v>
      </c>
      <c r="D64" s="146" t="s">
        <v>167</v>
      </c>
      <c r="E64" s="150">
        <v>6.95</v>
      </c>
      <c r="F64" s="179" t="s">
        <v>90</v>
      </c>
      <c r="G64" s="106">
        <v>3</v>
      </c>
      <c r="H64" s="100">
        <v>3279</v>
      </c>
      <c r="I64" s="101">
        <f>H64*1.025</f>
        <v>3360.9749999999999</v>
      </c>
      <c r="J64" s="152">
        <v>7</v>
      </c>
      <c r="K64" s="99">
        <f t="shared" si="7"/>
        <v>359.26799999999997</v>
      </c>
      <c r="L64" s="99">
        <f>I64+K64</f>
        <v>3720.2429999999999</v>
      </c>
      <c r="M64" s="99">
        <f t="shared" si="10"/>
        <v>0</v>
      </c>
      <c r="N64" s="99">
        <f t="shared" si="11"/>
        <v>0</v>
      </c>
      <c r="O64" s="99">
        <f>L64*0.05</f>
        <v>186.01215000000002</v>
      </c>
    </row>
    <row r="65" spans="1:15" ht="47.25">
      <c r="A65" s="147">
        <v>13</v>
      </c>
      <c r="B65" s="148">
        <v>42993</v>
      </c>
      <c r="C65" s="149">
        <v>0.66597222222222219</v>
      </c>
      <c r="D65" s="146" t="s">
        <v>167</v>
      </c>
      <c r="E65" s="150">
        <v>6.95</v>
      </c>
      <c r="F65" s="151" t="s">
        <v>91</v>
      </c>
      <c r="G65" s="106">
        <v>2</v>
      </c>
      <c r="H65" s="100">
        <v>2347</v>
      </c>
      <c r="I65" s="101">
        <f>H65*1.025</f>
        <v>2405.6749999999997</v>
      </c>
      <c r="J65" s="152">
        <v>0</v>
      </c>
      <c r="K65" s="99">
        <f t="shared" si="7"/>
        <v>0</v>
      </c>
      <c r="L65" s="99">
        <f>I65+K65</f>
        <v>2405.6749999999997</v>
      </c>
      <c r="M65" s="99">
        <f t="shared" si="10"/>
        <v>0</v>
      </c>
      <c r="N65" s="99">
        <f t="shared" si="11"/>
        <v>0</v>
      </c>
      <c r="O65" s="99">
        <f t="shared" si="4"/>
        <v>120.28375</v>
      </c>
    </row>
    <row r="66" spans="1:15" ht="31.5">
      <c r="A66" s="145">
        <v>14</v>
      </c>
      <c r="B66" s="148">
        <v>43000</v>
      </c>
      <c r="C66" s="149">
        <v>0.69444444444444453</v>
      </c>
      <c r="D66" s="146" t="s">
        <v>165</v>
      </c>
      <c r="E66" s="150" t="s">
        <v>180</v>
      </c>
      <c r="F66" s="156" t="s">
        <v>101</v>
      </c>
      <c r="G66" s="122">
        <v>4</v>
      </c>
      <c r="H66" s="153">
        <v>2800</v>
      </c>
      <c r="I66" s="101">
        <v>3044.877</v>
      </c>
      <c r="J66" s="153">
        <v>5</v>
      </c>
      <c r="K66" s="99">
        <f t="shared" si="7"/>
        <v>256.62</v>
      </c>
      <c r="L66" s="99">
        <f>K66+I66</f>
        <v>3301.4969999999998</v>
      </c>
      <c r="M66" s="99">
        <f t="shared" si="10"/>
        <v>0</v>
      </c>
      <c r="N66" s="99">
        <f t="shared" si="11"/>
        <v>0</v>
      </c>
      <c r="O66" s="99">
        <f t="shared" si="4"/>
        <v>165.07485</v>
      </c>
    </row>
    <row r="67" spans="1:15" ht="31.5">
      <c r="A67" s="159">
        <v>15</v>
      </c>
      <c r="B67" s="168">
        <v>42992</v>
      </c>
      <c r="C67" s="169">
        <v>0.66736111111111107</v>
      </c>
      <c r="D67" s="160" t="s">
        <v>163</v>
      </c>
      <c r="E67" s="161">
        <v>6.8</v>
      </c>
      <c r="F67" s="162" t="s">
        <v>48</v>
      </c>
      <c r="G67" s="163">
        <v>1</v>
      </c>
      <c r="H67" s="175">
        <v>1450</v>
      </c>
      <c r="I67" s="165">
        <f t="shared" ref="I67:I94" si="13">H67*1.11</f>
        <v>1609.5000000000002</v>
      </c>
      <c r="J67" s="171">
        <v>0</v>
      </c>
      <c r="K67" s="167">
        <f t="shared" si="7"/>
        <v>0</v>
      </c>
      <c r="L67" s="167">
        <f>K67+I67</f>
        <v>1609.5000000000002</v>
      </c>
      <c r="M67" s="167">
        <f t="shared" si="10"/>
        <v>0</v>
      </c>
      <c r="N67" s="167">
        <f t="shared" si="11"/>
        <v>0</v>
      </c>
      <c r="O67" s="167">
        <f t="shared" ref="O67:O94" si="14">L67*0.05</f>
        <v>80.475000000000023</v>
      </c>
    </row>
    <row r="68" spans="1:15" ht="31.5">
      <c r="A68" s="145">
        <v>16</v>
      </c>
      <c r="B68" s="148">
        <v>42992</v>
      </c>
      <c r="C68" s="149">
        <v>0.69791666666666663</v>
      </c>
      <c r="D68" s="146" t="s">
        <v>161</v>
      </c>
      <c r="E68" s="150">
        <v>6.8</v>
      </c>
      <c r="F68" s="151" t="s">
        <v>109</v>
      </c>
      <c r="G68" s="106">
        <v>2</v>
      </c>
      <c r="H68" s="158">
        <v>1962</v>
      </c>
      <c r="I68" s="101">
        <f t="shared" si="13"/>
        <v>2177.8200000000002</v>
      </c>
      <c r="J68" s="152">
        <v>0</v>
      </c>
      <c r="K68" s="99">
        <f t="shared" si="7"/>
        <v>0</v>
      </c>
      <c r="L68" s="99">
        <f>SUM(K68+I68)</f>
        <v>2177.8200000000002</v>
      </c>
      <c r="M68" s="99">
        <f t="shared" si="10"/>
        <v>0</v>
      </c>
      <c r="N68" s="99">
        <f t="shared" si="11"/>
        <v>0</v>
      </c>
      <c r="O68" s="99">
        <f t="shared" si="14"/>
        <v>108.89100000000002</v>
      </c>
    </row>
    <row r="69" spans="1:15" ht="47.25">
      <c r="A69" s="159">
        <v>17</v>
      </c>
      <c r="B69" s="168">
        <v>42992</v>
      </c>
      <c r="C69" s="169">
        <v>0.7104166666666667</v>
      </c>
      <c r="D69" s="160" t="s">
        <v>161</v>
      </c>
      <c r="E69" s="161">
        <v>6.8</v>
      </c>
      <c r="F69" s="162" t="s">
        <v>110</v>
      </c>
      <c r="G69" s="163">
        <v>1</v>
      </c>
      <c r="H69" s="170">
        <v>662</v>
      </c>
      <c r="I69" s="165">
        <f t="shared" si="13"/>
        <v>734.82</v>
      </c>
      <c r="J69" s="171">
        <v>0</v>
      </c>
      <c r="K69" s="167">
        <f t="shared" si="7"/>
        <v>0</v>
      </c>
      <c r="L69" s="167">
        <f>SUM(K69+I69)</f>
        <v>734.82</v>
      </c>
      <c r="M69" s="167">
        <f t="shared" si="10"/>
        <v>0</v>
      </c>
      <c r="N69" s="167">
        <f t="shared" si="11"/>
        <v>0</v>
      </c>
      <c r="O69" s="167">
        <f t="shared" si="14"/>
        <v>36.741000000000007</v>
      </c>
    </row>
    <row r="70" spans="1:15" ht="31.5">
      <c r="A70" s="147">
        <v>18</v>
      </c>
      <c r="B70" s="148">
        <v>42993</v>
      </c>
      <c r="C70" s="149">
        <v>0.6118055555555556</v>
      </c>
      <c r="D70" s="146" t="s">
        <v>167</v>
      </c>
      <c r="E70" s="150">
        <v>6.8</v>
      </c>
      <c r="F70" s="179" t="s">
        <v>92</v>
      </c>
      <c r="G70" s="123">
        <v>4</v>
      </c>
      <c r="H70" s="100">
        <v>1513</v>
      </c>
      <c r="I70" s="101">
        <f t="shared" si="13"/>
        <v>1679.43</v>
      </c>
      <c r="J70" s="152">
        <v>4</v>
      </c>
      <c r="K70" s="99">
        <f t="shared" si="7"/>
        <v>205.29599999999999</v>
      </c>
      <c r="L70" s="99">
        <f>I70+K70</f>
        <v>1884.7260000000001</v>
      </c>
      <c r="M70" s="99">
        <f t="shared" si="10"/>
        <v>0</v>
      </c>
      <c r="N70" s="99">
        <f t="shared" si="11"/>
        <v>0</v>
      </c>
      <c r="O70" s="99">
        <f t="shared" si="14"/>
        <v>94.236300000000014</v>
      </c>
    </row>
    <row r="71" spans="1:15" ht="31.5">
      <c r="A71" s="172">
        <v>19</v>
      </c>
      <c r="B71" s="168">
        <v>42993</v>
      </c>
      <c r="C71" s="169">
        <v>0.65694444444444444</v>
      </c>
      <c r="D71" s="160" t="s">
        <v>181</v>
      </c>
      <c r="E71" s="161">
        <v>6.8</v>
      </c>
      <c r="F71" s="162" t="s">
        <v>182</v>
      </c>
      <c r="G71" s="163">
        <v>2</v>
      </c>
      <c r="H71" s="170">
        <v>1310</v>
      </c>
      <c r="I71" s="165">
        <f t="shared" si="13"/>
        <v>1454.1000000000001</v>
      </c>
      <c r="J71" s="171">
        <v>0</v>
      </c>
      <c r="K71" s="167">
        <f t="shared" si="7"/>
        <v>0</v>
      </c>
      <c r="L71" s="167">
        <f>SUM(K71+I71)</f>
        <v>1454.1000000000001</v>
      </c>
      <c r="M71" s="167">
        <f t="shared" si="10"/>
        <v>0</v>
      </c>
      <c r="N71" s="167">
        <f t="shared" si="11"/>
        <v>0</v>
      </c>
      <c r="O71" s="167">
        <f t="shared" si="14"/>
        <v>72.705000000000013</v>
      </c>
    </row>
    <row r="72" spans="1:15" ht="47.25">
      <c r="A72" s="159">
        <v>20</v>
      </c>
      <c r="B72" s="168">
        <v>42993</v>
      </c>
      <c r="C72" s="169">
        <v>0.65833333333333333</v>
      </c>
      <c r="D72" s="160" t="s">
        <v>167</v>
      </c>
      <c r="E72" s="161">
        <v>6.8</v>
      </c>
      <c r="F72" s="162" t="s">
        <v>183</v>
      </c>
      <c r="G72" s="163">
        <v>1</v>
      </c>
      <c r="H72" s="175">
        <v>475</v>
      </c>
      <c r="I72" s="165">
        <f t="shared" si="13"/>
        <v>527.25</v>
      </c>
      <c r="J72" s="171">
        <v>2</v>
      </c>
      <c r="K72" s="167">
        <f t="shared" si="7"/>
        <v>102.648</v>
      </c>
      <c r="L72" s="167">
        <f>I72+K72</f>
        <v>629.89800000000002</v>
      </c>
      <c r="M72" s="167">
        <f t="shared" si="10"/>
        <v>0</v>
      </c>
      <c r="N72" s="167">
        <f t="shared" si="11"/>
        <v>0</v>
      </c>
      <c r="O72" s="167">
        <f t="shared" si="14"/>
        <v>31.494900000000001</v>
      </c>
    </row>
    <row r="73" spans="1:15" ht="31.5">
      <c r="A73" s="172">
        <v>21</v>
      </c>
      <c r="B73" s="168">
        <v>43000</v>
      </c>
      <c r="C73" s="169">
        <v>0.67569444444444438</v>
      </c>
      <c r="D73" s="160" t="s">
        <v>168</v>
      </c>
      <c r="E73" s="161">
        <v>6.8</v>
      </c>
      <c r="F73" s="173" t="s">
        <v>184</v>
      </c>
      <c r="G73" s="174">
        <v>1</v>
      </c>
      <c r="H73" s="175">
        <v>3093</v>
      </c>
      <c r="I73" s="165">
        <f t="shared" si="13"/>
        <v>3433.2300000000005</v>
      </c>
      <c r="J73" s="171">
        <v>2</v>
      </c>
      <c r="K73" s="167">
        <f t="shared" si="7"/>
        <v>102.648</v>
      </c>
      <c r="L73" s="167">
        <f>I73+K73</f>
        <v>3535.8780000000006</v>
      </c>
      <c r="M73" s="167">
        <f t="shared" si="10"/>
        <v>0</v>
      </c>
      <c r="N73" s="167">
        <f t="shared" si="11"/>
        <v>0</v>
      </c>
      <c r="O73" s="167">
        <f t="shared" si="14"/>
        <v>176.79390000000004</v>
      </c>
    </row>
    <row r="74" spans="1:15" ht="31.5">
      <c r="A74" s="147">
        <v>22</v>
      </c>
      <c r="B74" s="148">
        <v>42992</v>
      </c>
      <c r="C74" s="149">
        <v>0.72291666666666676</v>
      </c>
      <c r="D74" s="146" t="s">
        <v>161</v>
      </c>
      <c r="E74" s="150">
        <v>6.7</v>
      </c>
      <c r="F74" s="153" t="s">
        <v>127</v>
      </c>
      <c r="G74" s="119">
        <v>3</v>
      </c>
      <c r="H74" s="180">
        <v>6792</v>
      </c>
      <c r="I74" s="101">
        <f t="shared" si="13"/>
        <v>7539.1200000000008</v>
      </c>
      <c r="J74" s="152">
        <v>0</v>
      </c>
      <c r="K74" s="99">
        <f t="shared" si="7"/>
        <v>0</v>
      </c>
      <c r="L74" s="99">
        <f>SUM(K74+I74)</f>
        <v>7539.1200000000008</v>
      </c>
      <c r="M74" s="99">
        <f t="shared" si="10"/>
        <v>0</v>
      </c>
      <c r="N74" s="99">
        <f t="shared" si="11"/>
        <v>0</v>
      </c>
      <c r="O74" s="99">
        <f t="shared" si="14"/>
        <v>376.95600000000007</v>
      </c>
    </row>
    <row r="75" spans="1:15" ht="31.5">
      <c r="A75" s="147">
        <v>23</v>
      </c>
      <c r="B75" s="148">
        <v>42993</v>
      </c>
      <c r="C75" s="149">
        <v>0.67291666666666661</v>
      </c>
      <c r="D75" s="146" t="s">
        <v>161</v>
      </c>
      <c r="E75" s="150">
        <v>6.5</v>
      </c>
      <c r="F75" s="151" t="s">
        <v>128</v>
      </c>
      <c r="G75" s="106">
        <v>1</v>
      </c>
      <c r="H75" s="180">
        <v>4835</v>
      </c>
      <c r="I75" s="101">
        <f t="shared" si="13"/>
        <v>5366.85</v>
      </c>
      <c r="J75" s="152">
        <v>2</v>
      </c>
      <c r="K75" s="99">
        <f t="shared" si="7"/>
        <v>102.648</v>
      </c>
      <c r="L75" s="99">
        <f>SUM(K75+I75)</f>
        <v>5469.4980000000005</v>
      </c>
      <c r="M75" s="99">
        <f t="shared" si="10"/>
        <v>0</v>
      </c>
      <c r="N75" s="99">
        <f t="shared" si="11"/>
        <v>0</v>
      </c>
      <c r="O75" s="99">
        <f t="shared" si="14"/>
        <v>273.47490000000005</v>
      </c>
    </row>
    <row r="76" spans="1:15" ht="63">
      <c r="A76" s="145">
        <v>24</v>
      </c>
      <c r="B76" s="148">
        <v>42985</v>
      </c>
      <c r="C76" s="149">
        <v>0.62916666666666665</v>
      </c>
      <c r="D76" s="146" t="s">
        <v>164</v>
      </c>
      <c r="E76" s="150">
        <v>6.45</v>
      </c>
      <c r="F76" s="151" t="s">
        <v>133</v>
      </c>
      <c r="G76" s="106">
        <v>6</v>
      </c>
      <c r="H76" s="100">
        <v>2160</v>
      </c>
      <c r="I76" s="101">
        <f t="shared" si="13"/>
        <v>2397.6000000000004</v>
      </c>
      <c r="J76" s="152">
        <v>4</v>
      </c>
      <c r="K76" s="99">
        <f t="shared" si="7"/>
        <v>205.29599999999999</v>
      </c>
      <c r="L76" s="99">
        <f>I76+K76</f>
        <v>2602.8960000000002</v>
      </c>
      <c r="M76" s="99">
        <f t="shared" si="10"/>
        <v>0</v>
      </c>
      <c r="N76" s="99">
        <f t="shared" si="11"/>
        <v>0</v>
      </c>
      <c r="O76" s="99">
        <f t="shared" si="14"/>
        <v>130.1448</v>
      </c>
    </row>
    <row r="77" spans="1:15" ht="31.5">
      <c r="A77" s="147">
        <v>25</v>
      </c>
      <c r="B77" s="148">
        <v>42993</v>
      </c>
      <c r="C77" s="149">
        <v>0.63888888888888895</v>
      </c>
      <c r="D77" s="146" t="s">
        <v>167</v>
      </c>
      <c r="E77" s="150">
        <v>6.45</v>
      </c>
      <c r="F77" s="151" t="s">
        <v>93</v>
      </c>
      <c r="G77" s="106">
        <v>2</v>
      </c>
      <c r="H77" s="100">
        <v>3695</v>
      </c>
      <c r="I77" s="101">
        <f t="shared" si="13"/>
        <v>4101.4500000000007</v>
      </c>
      <c r="J77" s="152">
        <v>4</v>
      </c>
      <c r="K77" s="99">
        <f t="shared" si="7"/>
        <v>205.29599999999999</v>
      </c>
      <c r="L77" s="99">
        <f>I77+K77</f>
        <v>4306.746000000001</v>
      </c>
      <c r="M77" s="99">
        <f t="shared" si="10"/>
        <v>0</v>
      </c>
      <c r="N77" s="99">
        <f t="shared" si="11"/>
        <v>0</v>
      </c>
      <c r="O77" s="99">
        <f t="shared" si="14"/>
        <v>215.33730000000006</v>
      </c>
    </row>
    <row r="78" spans="1:15" ht="47.25">
      <c r="A78" s="145">
        <v>26</v>
      </c>
      <c r="B78" s="148">
        <v>42993</v>
      </c>
      <c r="C78" s="149">
        <v>0.63958333333333328</v>
      </c>
      <c r="D78" s="146" t="s">
        <v>167</v>
      </c>
      <c r="E78" s="150">
        <v>6.45</v>
      </c>
      <c r="F78" s="151" t="s">
        <v>94</v>
      </c>
      <c r="G78" s="106">
        <v>4</v>
      </c>
      <c r="H78" s="100">
        <v>5743</v>
      </c>
      <c r="I78" s="101">
        <f t="shared" si="13"/>
        <v>6374.7300000000005</v>
      </c>
      <c r="J78" s="152">
        <v>5</v>
      </c>
      <c r="K78" s="99">
        <f t="shared" si="7"/>
        <v>256.62</v>
      </c>
      <c r="L78" s="99">
        <f>I78+K78</f>
        <v>6631.35</v>
      </c>
      <c r="M78" s="99">
        <f t="shared" si="10"/>
        <v>0</v>
      </c>
      <c r="N78" s="99">
        <f t="shared" si="11"/>
        <v>0</v>
      </c>
      <c r="O78" s="99">
        <f t="shared" si="14"/>
        <v>331.56750000000005</v>
      </c>
    </row>
    <row r="79" spans="1:15" ht="47.25">
      <c r="A79" s="159">
        <v>27</v>
      </c>
      <c r="B79" s="168">
        <v>42993</v>
      </c>
      <c r="C79" s="169">
        <v>0.67361111111111116</v>
      </c>
      <c r="D79" s="160" t="s">
        <v>166</v>
      </c>
      <c r="E79" s="161">
        <v>6.4</v>
      </c>
      <c r="F79" s="162" t="s">
        <v>146</v>
      </c>
      <c r="G79" s="163">
        <v>1</v>
      </c>
      <c r="H79" s="175">
        <v>2908</v>
      </c>
      <c r="I79" s="165">
        <f t="shared" si="13"/>
        <v>3227.88</v>
      </c>
      <c r="J79" s="171">
        <v>0</v>
      </c>
      <c r="K79" s="167">
        <f t="shared" si="7"/>
        <v>0</v>
      </c>
      <c r="L79" s="167">
        <f>K79+I79</f>
        <v>3227.88</v>
      </c>
      <c r="M79" s="167">
        <f t="shared" si="10"/>
        <v>0</v>
      </c>
      <c r="N79" s="167">
        <f t="shared" si="11"/>
        <v>0</v>
      </c>
      <c r="O79" s="167">
        <f t="shared" si="14"/>
        <v>161.39400000000001</v>
      </c>
    </row>
    <row r="80" spans="1:15" ht="31.5">
      <c r="A80" s="147">
        <v>28</v>
      </c>
      <c r="B80" s="148">
        <v>42978</v>
      </c>
      <c r="C80" s="149">
        <v>0.68472222222222223</v>
      </c>
      <c r="D80" s="146" t="s">
        <v>162</v>
      </c>
      <c r="E80" s="150">
        <v>6.2</v>
      </c>
      <c r="F80" s="151" t="s">
        <v>60</v>
      </c>
      <c r="G80" s="106">
        <v>1</v>
      </c>
      <c r="H80" s="100">
        <v>914</v>
      </c>
      <c r="I80" s="101">
        <f t="shared" si="13"/>
        <v>1014.5400000000001</v>
      </c>
      <c r="J80" s="152">
        <v>3</v>
      </c>
      <c r="K80" s="99">
        <f t="shared" si="7"/>
        <v>153.97199999999998</v>
      </c>
      <c r="L80" s="99">
        <f>K80+I80</f>
        <v>1168.5120000000002</v>
      </c>
      <c r="M80" s="99">
        <f t="shared" si="10"/>
        <v>0</v>
      </c>
      <c r="N80" s="99">
        <f t="shared" si="11"/>
        <v>0</v>
      </c>
      <c r="O80" s="99">
        <f t="shared" si="14"/>
        <v>58.42560000000001</v>
      </c>
    </row>
    <row r="81" spans="1:15" ht="31.5">
      <c r="A81" s="145">
        <v>29</v>
      </c>
      <c r="B81" s="148">
        <v>42978</v>
      </c>
      <c r="C81" s="149">
        <v>0.68541666666666667</v>
      </c>
      <c r="D81" s="146" t="s">
        <v>162</v>
      </c>
      <c r="E81" s="150">
        <v>6.2</v>
      </c>
      <c r="F81" s="151" t="s">
        <v>61</v>
      </c>
      <c r="G81" s="106">
        <v>1</v>
      </c>
      <c r="H81" s="100">
        <v>2224</v>
      </c>
      <c r="I81" s="101">
        <f t="shared" si="13"/>
        <v>2468.6400000000003</v>
      </c>
      <c r="J81" s="152">
        <v>3</v>
      </c>
      <c r="K81" s="99">
        <f t="shared" si="7"/>
        <v>153.97199999999998</v>
      </c>
      <c r="L81" s="99">
        <f>K81+I81</f>
        <v>2622.6120000000001</v>
      </c>
      <c r="M81" s="99">
        <f t="shared" si="10"/>
        <v>0</v>
      </c>
      <c r="N81" s="99">
        <f t="shared" si="11"/>
        <v>0</v>
      </c>
      <c r="O81" s="99">
        <f t="shared" si="14"/>
        <v>131.13060000000002</v>
      </c>
    </row>
    <row r="82" spans="1:15" ht="31.5">
      <c r="A82" s="147">
        <v>30</v>
      </c>
      <c r="B82" s="148">
        <v>42978</v>
      </c>
      <c r="C82" s="149">
        <v>0.68680555555555556</v>
      </c>
      <c r="D82" s="146" t="s">
        <v>162</v>
      </c>
      <c r="E82" s="150">
        <v>6.2</v>
      </c>
      <c r="F82" s="151" t="s">
        <v>62</v>
      </c>
      <c r="G82" s="106">
        <v>1</v>
      </c>
      <c r="H82" s="100">
        <v>1066</v>
      </c>
      <c r="I82" s="101">
        <f t="shared" si="13"/>
        <v>1183.26</v>
      </c>
      <c r="J82" s="152">
        <v>2</v>
      </c>
      <c r="K82" s="99">
        <f t="shared" si="7"/>
        <v>102.648</v>
      </c>
      <c r="L82" s="99">
        <f>K82+I82</f>
        <v>1285.9079999999999</v>
      </c>
      <c r="M82" s="99">
        <f t="shared" si="10"/>
        <v>0</v>
      </c>
      <c r="N82" s="99">
        <f t="shared" si="11"/>
        <v>0</v>
      </c>
      <c r="O82" s="99">
        <f t="shared" si="14"/>
        <v>64.295400000000001</v>
      </c>
    </row>
    <row r="83" spans="1:15" ht="47.25">
      <c r="A83" s="145">
        <v>31</v>
      </c>
      <c r="B83" s="148">
        <v>42978</v>
      </c>
      <c r="C83" s="149">
        <v>0.6875</v>
      </c>
      <c r="D83" s="146" t="s">
        <v>162</v>
      </c>
      <c r="E83" s="150">
        <v>6.2</v>
      </c>
      <c r="F83" s="151" t="s">
        <v>63</v>
      </c>
      <c r="G83" s="106">
        <v>4</v>
      </c>
      <c r="H83" s="100">
        <v>3340</v>
      </c>
      <c r="I83" s="101">
        <f t="shared" si="13"/>
        <v>3707.4000000000005</v>
      </c>
      <c r="J83" s="152">
        <v>5</v>
      </c>
      <c r="K83" s="99">
        <f t="shared" si="7"/>
        <v>256.62</v>
      </c>
      <c r="L83" s="99">
        <f>K83+I83</f>
        <v>3964.0200000000004</v>
      </c>
      <c r="M83" s="99">
        <f t="shared" si="10"/>
        <v>0</v>
      </c>
      <c r="N83" s="99">
        <f t="shared" si="11"/>
        <v>0</v>
      </c>
      <c r="O83" s="99">
        <f t="shared" si="14"/>
        <v>198.20100000000002</v>
      </c>
    </row>
    <row r="84" spans="1:15" ht="31.5">
      <c r="A84" s="147">
        <v>32</v>
      </c>
      <c r="B84" s="148">
        <v>42985</v>
      </c>
      <c r="C84" s="149">
        <v>0.59166666666666667</v>
      </c>
      <c r="D84" s="146" t="s">
        <v>185</v>
      </c>
      <c r="E84" s="150">
        <v>6.2</v>
      </c>
      <c r="F84" s="151" t="s">
        <v>111</v>
      </c>
      <c r="G84" s="106">
        <v>1</v>
      </c>
      <c r="H84" s="158">
        <v>2082</v>
      </c>
      <c r="I84" s="101">
        <f t="shared" si="13"/>
        <v>2311.02</v>
      </c>
      <c r="J84" s="152">
        <v>0</v>
      </c>
      <c r="K84" s="99">
        <f t="shared" si="7"/>
        <v>0</v>
      </c>
      <c r="L84" s="99">
        <f>SUM(K84+I84)</f>
        <v>2311.02</v>
      </c>
      <c r="M84" s="99">
        <f t="shared" si="10"/>
        <v>0</v>
      </c>
      <c r="N84" s="99">
        <f t="shared" si="11"/>
        <v>0</v>
      </c>
      <c r="O84" s="99">
        <f t="shared" si="14"/>
        <v>115.551</v>
      </c>
    </row>
    <row r="85" spans="1:15" ht="31.5">
      <c r="A85" s="159">
        <v>33</v>
      </c>
      <c r="B85" s="168">
        <v>42985</v>
      </c>
      <c r="C85" s="169">
        <v>0.62708333333333333</v>
      </c>
      <c r="D85" s="160" t="s">
        <v>164</v>
      </c>
      <c r="E85" s="161">
        <v>6.2</v>
      </c>
      <c r="F85" s="162" t="s">
        <v>186</v>
      </c>
      <c r="G85" s="163">
        <v>1</v>
      </c>
      <c r="H85" s="175">
        <v>1596</v>
      </c>
      <c r="I85" s="165">
        <f t="shared" si="13"/>
        <v>1771.5600000000002</v>
      </c>
      <c r="J85" s="171">
        <v>4</v>
      </c>
      <c r="K85" s="167">
        <f t="shared" si="7"/>
        <v>205.29599999999999</v>
      </c>
      <c r="L85" s="167">
        <f>I85+K85</f>
        <v>1976.8560000000002</v>
      </c>
      <c r="M85" s="167">
        <f t="shared" si="10"/>
        <v>0</v>
      </c>
      <c r="N85" s="167">
        <f t="shared" si="11"/>
        <v>0</v>
      </c>
      <c r="O85" s="167">
        <f t="shared" si="14"/>
        <v>98.842800000000011</v>
      </c>
    </row>
    <row r="86" spans="1:15" ht="31.5">
      <c r="A86" s="145">
        <v>34</v>
      </c>
      <c r="B86" s="148">
        <v>42992</v>
      </c>
      <c r="C86" s="149">
        <v>0.6972222222222223</v>
      </c>
      <c r="D86" s="146" t="s">
        <v>161</v>
      </c>
      <c r="E86" s="150">
        <v>6.2</v>
      </c>
      <c r="F86" s="151" t="s">
        <v>187</v>
      </c>
      <c r="G86" s="106">
        <v>1</v>
      </c>
      <c r="H86" s="158">
        <v>1816</v>
      </c>
      <c r="I86" s="101">
        <f t="shared" si="13"/>
        <v>2015.7600000000002</v>
      </c>
      <c r="J86" s="152">
        <v>0</v>
      </c>
      <c r="K86" s="99">
        <f t="shared" si="7"/>
        <v>0</v>
      </c>
      <c r="L86" s="99">
        <f>SUM(K86+I86)</f>
        <v>2015.7600000000002</v>
      </c>
      <c r="M86" s="99">
        <f t="shared" si="10"/>
        <v>0</v>
      </c>
      <c r="N86" s="99">
        <f t="shared" si="11"/>
        <v>0</v>
      </c>
      <c r="O86" s="99">
        <f t="shared" si="14"/>
        <v>100.78800000000001</v>
      </c>
    </row>
    <row r="87" spans="1:15" ht="31.5">
      <c r="A87" s="147">
        <v>35</v>
      </c>
      <c r="B87" s="148">
        <v>42992</v>
      </c>
      <c r="C87" s="149">
        <v>0.72430555555555554</v>
      </c>
      <c r="D87" s="146" t="s">
        <v>161</v>
      </c>
      <c r="E87" s="150">
        <v>6.2</v>
      </c>
      <c r="F87" s="151" t="s">
        <v>112</v>
      </c>
      <c r="G87" s="106">
        <v>3</v>
      </c>
      <c r="H87" s="158">
        <v>6282</v>
      </c>
      <c r="I87" s="101">
        <f t="shared" si="13"/>
        <v>6973.02</v>
      </c>
      <c r="J87" s="152">
        <v>2</v>
      </c>
      <c r="K87" s="99">
        <f t="shared" si="7"/>
        <v>102.648</v>
      </c>
      <c r="L87" s="99">
        <f>SUM(K87+I87)</f>
        <v>7075.6680000000006</v>
      </c>
      <c r="M87" s="99">
        <f t="shared" si="10"/>
        <v>0</v>
      </c>
      <c r="N87" s="99">
        <f t="shared" si="11"/>
        <v>0</v>
      </c>
      <c r="O87" s="99">
        <f t="shared" si="14"/>
        <v>353.78340000000003</v>
      </c>
    </row>
    <row r="88" spans="1:15" ht="31.5">
      <c r="A88" s="145">
        <v>36</v>
      </c>
      <c r="B88" s="148">
        <v>42992</v>
      </c>
      <c r="C88" s="149">
        <v>0.73541666666666661</v>
      </c>
      <c r="D88" s="146" t="s">
        <v>161</v>
      </c>
      <c r="E88" s="150">
        <v>6.2</v>
      </c>
      <c r="F88" s="151" t="s">
        <v>113</v>
      </c>
      <c r="G88" s="106">
        <v>1</v>
      </c>
      <c r="H88" s="158">
        <v>1987</v>
      </c>
      <c r="I88" s="101">
        <f t="shared" si="13"/>
        <v>2205.5700000000002</v>
      </c>
      <c r="J88" s="152">
        <v>0</v>
      </c>
      <c r="K88" s="99">
        <f t="shared" si="7"/>
        <v>0</v>
      </c>
      <c r="L88" s="99">
        <f>SUM(K88+I88)</f>
        <v>2205.5700000000002</v>
      </c>
      <c r="M88" s="99">
        <f t="shared" si="10"/>
        <v>0</v>
      </c>
      <c r="N88" s="99">
        <f t="shared" si="11"/>
        <v>0</v>
      </c>
      <c r="O88" s="99">
        <f t="shared" si="14"/>
        <v>110.27850000000001</v>
      </c>
    </row>
    <row r="89" spans="1:15" ht="47.25">
      <c r="A89" s="147">
        <v>37</v>
      </c>
      <c r="B89" s="148">
        <v>42992</v>
      </c>
      <c r="C89" s="149">
        <v>0.74930555555555556</v>
      </c>
      <c r="D89" s="146" t="s">
        <v>161</v>
      </c>
      <c r="E89" s="150">
        <v>6.2</v>
      </c>
      <c r="F89" s="151" t="s">
        <v>114</v>
      </c>
      <c r="G89" s="106">
        <v>1</v>
      </c>
      <c r="H89" s="158">
        <v>1680</v>
      </c>
      <c r="I89" s="101">
        <f t="shared" si="13"/>
        <v>1864.8000000000002</v>
      </c>
      <c r="J89" s="152">
        <v>0</v>
      </c>
      <c r="K89" s="99">
        <f t="shared" si="7"/>
        <v>0</v>
      </c>
      <c r="L89" s="99">
        <f>SUM(K89+I89)</f>
        <v>1864.8000000000002</v>
      </c>
      <c r="M89" s="99">
        <f t="shared" si="10"/>
        <v>0</v>
      </c>
      <c r="N89" s="99">
        <f t="shared" si="11"/>
        <v>0</v>
      </c>
      <c r="O89" s="99">
        <f t="shared" si="14"/>
        <v>93.240000000000009</v>
      </c>
    </row>
    <row r="90" spans="1:15" ht="31.5">
      <c r="A90" s="147">
        <v>38</v>
      </c>
      <c r="B90" s="148">
        <v>42993</v>
      </c>
      <c r="C90" s="149">
        <v>0.64930555555555558</v>
      </c>
      <c r="D90" s="146" t="s">
        <v>163</v>
      </c>
      <c r="E90" s="150">
        <v>6.2</v>
      </c>
      <c r="F90" s="151" t="s">
        <v>49</v>
      </c>
      <c r="G90" s="106">
        <v>1</v>
      </c>
      <c r="H90" s="100">
        <v>1390</v>
      </c>
      <c r="I90" s="101">
        <f t="shared" si="13"/>
        <v>1542.9</v>
      </c>
      <c r="J90" s="152">
        <v>0</v>
      </c>
      <c r="K90" s="99">
        <f t="shared" si="7"/>
        <v>0</v>
      </c>
      <c r="L90" s="99">
        <f>K90+I90</f>
        <v>1542.9</v>
      </c>
      <c r="M90" s="99">
        <f t="shared" si="10"/>
        <v>0</v>
      </c>
      <c r="N90" s="99">
        <f t="shared" si="11"/>
        <v>0</v>
      </c>
      <c r="O90" s="99">
        <f t="shared" si="14"/>
        <v>77.14500000000001</v>
      </c>
    </row>
    <row r="91" spans="1:15" ht="31.5">
      <c r="A91" s="145">
        <v>39</v>
      </c>
      <c r="B91" s="148">
        <v>42993</v>
      </c>
      <c r="C91" s="149">
        <v>0.65</v>
      </c>
      <c r="D91" s="146" t="s">
        <v>163</v>
      </c>
      <c r="E91" s="150">
        <v>6.2</v>
      </c>
      <c r="F91" s="151" t="s">
        <v>50</v>
      </c>
      <c r="G91" s="106">
        <v>1</v>
      </c>
      <c r="H91" s="100">
        <v>2140</v>
      </c>
      <c r="I91" s="101">
        <f t="shared" si="13"/>
        <v>2375.4</v>
      </c>
      <c r="J91" s="152">
        <v>1</v>
      </c>
      <c r="K91" s="99">
        <f t="shared" si="7"/>
        <v>51.323999999999998</v>
      </c>
      <c r="L91" s="99">
        <f>K91+I91</f>
        <v>2426.7240000000002</v>
      </c>
      <c r="M91" s="99">
        <f t="shared" si="10"/>
        <v>0</v>
      </c>
      <c r="N91" s="99">
        <f t="shared" si="11"/>
        <v>0</v>
      </c>
      <c r="O91" s="99">
        <f t="shared" si="14"/>
        <v>121.33620000000002</v>
      </c>
    </row>
    <row r="92" spans="1:15" ht="31.5">
      <c r="A92" s="147">
        <v>40</v>
      </c>
      <c r="B92" s="148">
        <v>42993</v>
      </c>
      <c r="C92" s="149">
        <v>0.65902777777777777</v>
      </c>
      <c r="D92" s="146" t="s">
        <v>161</v>
      </c>
      <c r="E92" s="150">
        <v>6.2</v>
      </c>
      <c r="F92" s="151" t="s">
        <v>115</v>
      </c>
      <c r="G92" s="106">
        <v>1</v>
      </c>
      <c r="H92" s="158">
        <v>4835</v>
      </c>
      <c r="I92" s="101">
        <f t="shared" si="13"/>
        <v>5366.85</v>
      </c>
      <c r="J92" s="152">
        <v>2</v>
      </c>
      <c r="K92" s="99">
        <f t="shared" si="7"/>
        <v>102.648</v>
      </c>
      <c r="L92" s="99">
        <f>SUM(K92+I92)</f>
        <v>5469.4980000000005</v>
      </c>
      <c r="M92" s="99">
        <f t="shared" si="10"/>
        <v>0</v>
      </c>
      <c r="N92" s="99">
        <f t="shared" si="11"/>
        <v>0</v>
      </c>
      <c r="O92" s="99">
        <f t="shared" si="14"/>
        <v>273.47490000000005</v>
      </c>
    </row>
    <row r="93" spans="1:15" ht="31.5">
      <c r="A93" s="172">
        <v>41</v>
      </c>
      <c r="B93" s="168">
        <v>43000</v>
      </c>
      <c r="C93" s="169">
        <v>0.66805555555555562</v>
      </c>
      <c r="D93" s="160" t="s">
        <v>165</v>
      </c>
      <c r="E93" s="161">
        <v>6.2</v>
      </c>
      <c r="F93" s="173" t="s">
        <v>188</v>
      </c>
      <c r="G93" s="174">
        <v>1</v>
      </c>
      <c r="H93" s="175">
        <v>2012</v>
      </c>
      <c r="I93" s="165">
        <f t="shared" si="13"/>
        <v>2233.3200000000002</v>
      </c>
      <c r="J93" s="171">
        <v>4</v>
      </c>
      <c r="K93" s="167">
        <f t="shared" si="7"/>
        <v>205.29599999999999</v>
      </c>
      <c r="L93" s="167">
        <f>K93+I93</f>
        <v>2438.616</v>
      </c>
      <c r="M93" s="167">
        <f t="shared" si="10"/>
        <v>0</v>
      </c>
      <c r="N93" s="167">
        <f t="shared" si="11"/>
        <v>0</v>
      </c>
      <c r="O93" s="167">
        <f t="shared" si="14"/>
        <v>121.9308</v>
      </c>
    </row>
    <row r="94" spans="1:15" ht="31.5">
      <c r="A94" s="147">
        <v>42</v>
      </c>
      <c r="B94" s="148">
        <v>42993</v>
      </c>
      <c r="C94" s="149">
        <v>0.66597222222222219</v>
      </c>
      <c r="D94" s="146" t="s">
        <v>161</v>
      </c>
      <c r="E94" s="150">
        <v>7.7</v>
      </c>
      <c r="F94" s="151" t="s">
        <v>116</v>
      </c>
      <c r="G94" s="106">
        <v>1</v>
      </c>
      <c r="H94" s="158">
        <v>3530</v>
      </c>
      <c r="I94" s="101">
        <f t="shared" si="13"/>
        <v>3918.3</v>
      </c>
      <c r="J94" s="152">
        <v>0</v>
      </c>
      <c r="K94" s="99">
        <f t="shared" si="7"/>
        <v>0</v>
      </c>
      <c r="L94" s="99">
        <f>SUM(K94+I94)</f>
        <v>3918.3</v>
      </c>
      <c r="M94" s="99">
        <f t="shared" si="10"/>
        <v>0</v>
      </c>
      <c r="N94" s="99">
        <f t="shared" si="11"/>
        <v>0</v>
      </c>
      <c r="O94" s="99">
        <f t="shared" si="14"/>
        <v>195.91500000000002</v>
      </c>
    </row>
    <row r="95" spans="1:15" ht="15.75">
      <c r="A95" s="147">
        <v>42</v>
      </c>
      <c r="B95" s="148"/>
      <c r="C95" s="149"/>
      <c r="D95" s="146"/>
      <c r="E95" s="150"/>
      <c r="F95" s="154" t="s">
        <v>177</v>
      </c>
      <c r="G95" s="178">
        <f t="shared" ref="G95:O95" si="15">SUM(G53:G94)</f>
        <v>75</v>
      </c>
      <c r="H95" s="157">
        <f t="shared" si="15"/>
        <v>114257.73000000001</v>
      </c>
      <c r="I95" s="155">
        <f t="shared" si="15"/>
        <v>123384.16260000001</v>
      </c>
      <c r="J95" s="178">
        <f t="shared" si="15"/>
        <v>102</v>
      </c>
      <c r="K95" s="155">
        <f t="shared" si="15"/>
        <v>5235.0479999999998</v>
      </c>
      <c r="L95" s="155">
        <f t="shared" si="15"/>
        <v>128619.21060000003</v>
      </c>
      <c r="M95" s="155">
        <f t="shared" si="15"/>
        <v>0</v>
      </c>
      <c r="N95" s="155">
        <f t="shared" si="15"/>
        <v>0</v>
      </c>
      <c r="O95" s="155">
        <f t="shared" si="15"/>
        <v>6430.9605300000021</v>
      </c>
    </row>
    <row r="96" spans="1:15" ht="15.75">
      <c r="A96" s="433">
        <v>2021</v>
      </c>
      <c r="B96" s="433"/>
      <c r="C96" s="433"/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</row>
    <row r="97" spans="1:15" ht="31.5">
      <c r="A97" s="147">
        <v>1</v>
      </c>
      <c r="B97" s="148">
        <v>42993</v>
      </c>
      <c r="C97" s="149">
        <v>0.66666666666666663</v>
      </c>
      <c r="D97" s="146" t="s">
        <v>161</v>
      </c>
      <c r="E97" s="150">
        <v>7.7</v>
      </c>
      <c r="F97" s="151" t="s">
        <v>117</v>
      </c>
      <c r="G97" s="106">
        <v>1</v>
      </c>
      <c r="H97" s="158">
        <v>5220</v>
      </c>
      <c r="I97" s="101">
        <f>H97*1.125</f>
        <v>5872.5</v>
      </c>
      <c r="J97" s="152">
        <v>0</v>
      </c>
      <c r="K97" s="99">
        <f t="shared" ref="K97:K137" si="16">J97*51.324</f>
        <v>0</v>
      </c>
      <c r="L97" s="99">
        <f t="shared" ref="L97:L102" si="17">SUM(K97+I97)</f>
        <v>5872.5</v>
      </c>
      <c r="M97" s="99">
        <f t="shared" ref="M97:M137" si="18">L97*R97</f>
        <v>0</v>
      </c>
      <c r="N97" s="99">
        <f t="shared" ref="N97:N137" si="19">L97*S97</f>
        <v>0</v>
      </c>
      <c r="O97" s="99">
        <f t="shared" ref="O97:O121" si="20">L97*0.05</f>
        <v>293.625</v>
      </c>
    </row>
    <row r="98" spans="1:15" ht="47.25">
      <c r="A98" s="147">
        <v>2</v>
      </c>
      <c r="B98" s="148">
        <v>42992</v>
      </c>
      <c r="C98" s="149">
        <v>0.74513888888888891</v>
      </c>
      <c r="D98" s="146" t="s">
        <v>161</v>
      </c>
      <c r="E98" s="150">
        <v>7.7</v>
      </c>
      <c r="F98" s="151" t="s">
        <v>118</v>
      </c>
      <c r="G98" s="106">
        <v>1</v>
      </c>
      <c r="H98" s="158">
        <v>1495</v>
      </c>
      <c r="I98" s="101">
        <f t="shared" ref="I98:I114" si="21">H98*1.125</f>
        <v>1681.875</v>
      </c>
      <c r="J98" s="152">
        <v>0</v>
      </c>
      <c r="K98" s="99">
        <f t="shared" si="16"/>
        <v>0</v>
      </c>
      <c r="L98" s="99">
        <f t="shared" si="17"/>
        <v>1681.875</v>
      </c>
      <c r="M98" s="99">
        <f t="shared" si="18"/>
        <v>0</v>
      </c>
      <c r="N98" s="99">
        <f t="shared" si="19"/>
        <v>0</v>
      </c>
      <c r="O98" s="99">
        <f t="shared" si="20"/>
        <v>84.09375</v>
      </c>
    </row>
    <row r="99" spans="1:15" ht="31.5">
      <c r="A99" s="145">
        <v>3</v>
      </c>
      <c r="B99" s="148">
        <v>42992</v>
      </c>
      <c r="C99" s="149">
        <v>0.74791666666666667</v>
      </c>
      <c r="D99" s="146" t="s">
        <v>161</v>
      </c>
      <c r="E99" s="150">
        <v>7.7</v>
      </c>
      <c r="F99" s="151" t="s">
        <v>119</v>
      </c>
      <c r="G99" s="106">
        <v>1</v>
      </c>
      <c r="H99" s="158">
        <v>1100</v>
      </c>
      <c r="I99" s="101">
        <f t="shared" si="21"/>
        <v>1237.5</v>
      </c>
      <c r="J99" s="152">
        <v>0</v>
      </c>
      <c r="K99" s="99">
        <f t="shared" si="16"/>
        <v>0</v>
      </c>
      <c r="L99" s="99">
        <f t="shared" si="17"/>
        <v>1237.5</v>
      </c>
      <c r="M99" s="99">
        <f t="shared" si="18"/>
        <v>0</v>
      </c>
      <c r="N99" s="99">
        <f t="shared" si="19"/>
        <v>0</v>
      </c>
      <c r="O99" s="99">
        <f t="shared" si="20"/>
        <v>61.875</v>
      </c>
    </row>
    <row r="100" spans="1:15" ht="31.5">
      <c r="A100" s="147">
        <v>4</v>
      </c>
      <c r="B100" s="148">
        <v>42992</v>
      </c>
      <c r="C100" s="149">
        <v>0.74861111111111101</v>
      </c>
      <c r="D100" s="146" t="s">
        <v>161</v>
      </c>
      <c r="E100" s="150">
        <v>7.7</v>
      </c>
      <c r="F100" s="151" t="s">
        <v>120</v>
      </c>
      <c r="G100" s="106">
        <v>1</v>
      </c>
      <c r="H100" s="158">
        <v>1127</v>
      </c>
      <c r="I100" s="101">
        <f t="shared" si="21"/>
        <v>1267.875</v>
      </c>
      <c r="J100" s="152">
        <v>0</v>
      </c>
      <c r="K100" s="99">
        <f t="shared" si="16"/>
        <v>0</v>
      </c>
      <c r="L100" s="99">
        <f t="shared" si="17"/>
        <v>1267.875</v>
      </c>
      <c r="M100" s="99">
        <f t="shared" si="18"/>
        <v>0</v>
      </c>
      <c r="N100" s="99">
        <f t="shared" si="19"/>
        <v>0</v>
      </c>
      <c r="O100" s="99">
        <f t="shared" si="20"/>
        <v>63.393750000000004</v>
      </c>
    </row>
    <row r="101" spans="1:15" ht="31.5">
      <c r="A101" s="159">
        <v>5</v>
      </c>
      <c r="B101" s="168">
        <v>42993</v>
      </c>
      <c r="C101" s="169">
        <v>0.67083333333333339</v>
      </c>
      <c r="D101" s="160" t="s">
        <v>161</v>
      </c>
      <c r="E101" s="161">
        <v>7.7</v>
      </c>
      <c r="F101" s="162" t="s">
        <v>189</v>
      </c>
      <c r="G101" s="163">
        <v>1</v>
      </c>
      <c r="H101" s="170">
        <v>3826</v>
      </c>
      <c r="I101" s="165">
        <f t="shared" si="21"/>
        <v>4304.25</v>
      </c>
      <c r="J101" s="171">
        <v>2</v>
      </c>
      <c r="K101" s="167">
        <f t="shared" si="16"/>
        <v>102.648</v>
      </c>
      <c r="L101" s="167">
        <f t="shared" si="17"/>
        <v>4406.8980000000001</v>
      </c>
      <c r="M101" s="167">
        <f t="shared" si="18"/>
        <v>0</v>
      </c>
      <c r="N101" s="167">
        <f t="shared" si="19"/>
        <v>0</v>
      </c>
      <c r="O101" s="167">
        <f t="shared" si="20"/>
        <v>220.34490000000002</v>
      </c>
    </row>
    <row r="102" spans="1:15" ht="31.5">
      <c r="A102" s="145">
        <v>6</v>
      </c>
      <c r="B102" s="148">
        <v>42992</v>
      </c>
      <c r="C102" s="149">
        <v>0.75</v>
      </c>
      <c r="D102" s="146" t="s">
        <v>161</v>
      </c>
      <c r="E102" s="150">
        <v>7.2</v>
      </c>
      <c r="F102" s="151" t="s">
        <v>121</v>
      </c>
      <c r="G102" s="106">
        <v>1</v>
      </c>
      <c r="H102" s="158">
        <v>1884</v>
      </c>
      <c r="I102" s="101">
        <f t="shared" si="21"/>
        <v>2119.5</v>
      </c>
      <c r="J102" s="152">
        <v>0</v>
      </c>
      <c r="K102" s="99">
        <f t="shared" si="16"/>
        <v>0</v>
      </c>
      <c r="L102" s="99">
        <f t="shared" si="17"/>
        <v>2119.5</v>
      </c>
      <c r="M102" s="99">
        <f t="shared" si="18"/>
        <v>0</v>
      </c>
      <c r="N102" s="99">
        <f t="shared" si="19"/>
        <v>0</v>
      </c>
      <c r="O102" s="99">
        <f t="shared" si="20"/>
        <v>105.97500000000001</v>
      </c>
    </row>
    <row r="103" spans="1:15" ht="31.5">
      <c r="A103" s="159">
        <v>7</v>
      </c>
      <c r="B103" s="168">
        <v>43000</v>
      </c>
      <c r="C103" s="169">
        <v>0.6777777777777777</v>
      </c>
      <c r="D103" s="160" t="s">
        <v>168</v>
      </c>
      <c r="E103" s="161">
        <v>6.2</v>
      </c>
      <c r="F103" s="173" t="s">
        <v>190</v>
      </c>
      <c r="G103" s="174">
        <v>1</v>
      </c>
      <c r="H103" s="175">
        <v>1771</v>
      </c>
      <c r="I103" s="165">
        <f t="shared" si="21"/>
        <v>1992.375</v>
      </c>
      <c r="J103" s="171">
        <v>2</v>
      </c>
      <c r="K103" s="167">
        <f t="shared" si="16"/>
        <v>102.648</v>
      </c>
      <c r="L103" s="167">
        <f>I103+K103</f>
        <v>2095.0230000000001</v>
      </c>
      <c r="M103" s="167">
        <f t="shared" si="18"/>
        <v>0</v>
      </c>
      <c r="N103" s="167">
        <f t="shared" si="19"/>
        <v>0</v>
      </c>
      <c r="O103" s="167">
        <f t="shared" si="20"/>
        <v>104.75115000000001</v>
      </c>
    </row>
    <row r="104" spans="1:15" ht="47.25">
      <c r="A104" s="147">
        <v>8</v>
      </c>
      <c r="B104" s="148">
        <v>43000</v>
      </c>
      <c r="C104" s="149">
        <v>0.6777777777777777</v>
      </c>
      <c r="D104" s="146" t="s">
        <v>168</v>
      </c>
      <c r="E104" s="150">
        <v>6.2</v>
      </c>
      <c r="F104" s="156" t="s">
        <v>191</v>
      </c>
      <c r="G104" s="122">
        <v>1</v>
      </c>
      <c r="H104" s="100">
        <v>1715</v>
      </c>
      <c r="I104" s="101">
        <f t="shared" si="21"/>
        <v>1929.375</v>
      </c>
      <c r="J104" s="152">
        <v>0</v>
      </c>
      <c r="K104" s="99">
        <f t="shared" si="16"/>
        <v>0</v>
      </c>
      <c r="L104" s="99">
        <f>I104+K104</f>
        <v>1929.375</v>
      </c>
      <c r="M104" s="99">
        <f t="shared" si="18"/>
        <v>0</v>
      </c>
      <c r="N104" s="99">
        <f t="shared" si="19"/>
        <v>0</v>
      </c>
      <c r="O104" s="99">
        <f t="shared" si="20"/>
        <v>96.46875</v>
      </c>
    </row>
    <row r="105" spans="1:15" ht="31.5">
      <c r="A105" s="145">
        <v>9</v>
      </c>
      <c r="B105" s="148">
        <v>42975</v>
      </c>
      <c r="C105" s="149">
        <v>0.4777777777777778</v>
      </c>
      <c r="D105" s="146" t="s">
        <v>162</v>
      </c>
      <c r="E105" s="150" t="s">
        <v>192</v>
      </c>
      <c r="F105" s="151" t="s">
        <v>64</v>
      </c>
      <c r="G105" s="106">
        <v>2</v>
      </c>
      <c r="H105" s="100">
        <v>1831</v>
      </c>
      <c r="I105" s="101">
        <f t="shared" si="21"/>
        <v>2059.875</v>
      </c>
      <c r="J105" s="152">
        <v>4</v>
      </c>
      <c r="K105" s="99">
        <f t="shared" si="16"/>
        <v>205.29599999999999</v>
      </c>
      <c r="L105" s="99">
        <f>K105+I105</f>
        <v>2265.1709999999998</v>
      </c>
      <c r="M105" s="99">
        <f t="shared" si="18"/>
        <v>0</v>
      </c>
      <c r="N105" s="99">
        <f t="shared" si="19"/>
        <v>0</v>
      </c>
      <c r="O105" s="99">
        <f t="shared" si="20"/>
        <v>113.25855</v>
      </c>
    </row>
    <row r="106" spans="1:15" ht="47.25">
      <c r="A106" s="159">
        <v>10</v>
      </c>
      <c r="B106" s="168">
        <v>43000</v>
      </c>
      <c r="C106" s="169">
        <v>0.66875000000000007</v>
      </c>
      <c r="D106" s="160" t="s">
        <v>165</v>
      </c>
      <c r="E106" s="161" t="s">
        <v>193</v>
      </c>
      <c r="F106" s="173" t="s">
        <v>102</v>
      </c>
      <c r="G106" s="174">
        <v>4</v>
      </c>
      <c r="H106" s="175">
        <v>2137</v>
      </c>
      <c r="I106" s="165">
        <f t="shared" si="21"/>
        <v>2404.125</v>
      </c>
      <c r="J106" s="171">
        <v>6</v>
      </c>
      <c r="K106" s="167">
        <f t="shared" si="16"/>
        <v>307.94399999999996</v>
      </c>
      <c r="L106" s="167">
        <f>K106+I106</f>
        <v>2712.069</v>
      </c>
      <c r="M106" s="167">
        <f t="shared" si="18"/>
        <v>0</v>
      </c>
      <c r="N106" s="167">
        <f t="shared" si="19"/>
        <v>0</v>
      </c>
      <c r="O106" s="167">
        <f t="shared" si="20"/>
        <v>135.60345000000001</v>
      </c>
    </row>
    <row r="107" spans="1:15" ht="31.5">
      <c r="A107" s="147">
        <v>11</v>
      </c>
      <c r="B107" s="148">
        <v>42992</v>
      </c>
      <c r="C107" s="149">
        <v>0.73402777777777783</v>
      </c>
      <c r="D107" s="146" t="s">
        <v>161</v>
      </c>
      <c r="E107" s="150">
        <v>5.7</v>
      </c>
      <c r="F107" s="151" t="s">
        <v>122</v>
      </c>
      <c r="G107" s="106">
        <v>1</v>
      </c>
      <c r="H107" s="158">
        <v>980</v>
      </c>
      <c r="I107" s="101">
        <f t="shared" si="21"/>
        <v>1102.5</v>
      </c>
      <c r="J107" s="152">
        <v>0</v>
      </c>
      <c r="K107" s="99">
        <f t="shared" si="16"/>
        <v>0</v>
      </c>
      <c r="L107" s="99">
        <f>SUM(K107+I107)</f>
        <v>1102.5</v>
      </c>
      <c r="M107" s="99">
        <f t="shared" si="18"/>
        <v>0</v>
      </c>
      <c r="N107" s="99">
        <f t="shared" si="19"/>
        <v>0</v>
      </c>
      <c r="O107" s="99">
        <f t="shared" si="20"/>
        <v>55.125</v>
      </c>
    </row>
    <row r="108" spans="1:15" ht="47.25">
      <c r="A108" s="172">
        <v>12</v>
      </c>
      <c r="B108" s="168">
        <v>42993</v>
      </c>
      <c r="C108" s="169">
        <v>0.41666666666666669</v>
      </c>
      <c r="D108" s="160" t="s">
        <v>166</v>
      </c>
      <c r="E108" s="161">
        <v>5.7</v>
      </c>
      <c r="F108" s="162" t="s">
        <v>194</v>
      </c>
      <c r="G108" s="163">
        <v>1</v>
      </c>
      <c r="H108" s="175">
        <v>2049</v>
      </c>
      <c r="I108" s="165">
        <f t="shared" si="21"/>
        <v>2305.125</v>
      </c>
      <c r="J108" s="171">
        <v>2</v>
      </c>
      <c r="K108" s="167">
        <f t="shared" si="16"/>
        <v>102.648</v>
      </c>
      <c r="L108" s="167">
        <f>K108+I108</f>
        <v>2407.7730000000001</v>
      </c>
      <c r="M108" s="167">
        <f t="shared" si="18"/>
        <v>0</v>
      </c>
      <c r="N108" s="167">
        <f t="shared" si="19"/>
        <v>0</v>
      </c>
      <c r="O108" s="167">
        <f t="shared" si="20"/>
        <v>120.38865000000001</v>
      </c>
    </row>
    <row r="109" spans="1:15" ht="31.5">
      <c r="A109" s="147">
        <v>13</v>
      </c>
      <c r="B109" s="148">
        <v>42993</v>
      </c>
      <c r="C109" s="149">
        <v>0.64444444444444449</v>
      </c>
      <c r="D109" s="146" t="s">
        <v>167</v>
      </c>
      <c r="E109" s="150">
        <v>5.7</v>
      </c>
      <c r="F109" s="151" t="s">
        <v>95</v>
      </c>
      <c r="G109" s="106">
        <v>1</v>
      </c>
      <c r="H109" s="100">
        <v>1937</v>
      </c>
      <c r="I109" s="101">
        <f t="shared" si="21"/>
        <v>2179.125</v>
      </c>
      <c r="J109" s="152">
        <v>4</v>
      </c>
      <c r="K109" s="99">
        <f t="shared" si="16"/>
        <v>205.29599999999999</v>
      </c>
      <c r="L109" s="99">
        <f>I109+K109</f>
        <v>2384.4209999999998</v>
      </c>
      <c r="M109" s="99">
        <f t="shared" si="18"/>
        <v>0</v>
      </c>
      <c r="N109" s="99">
        <f t="shared" si="19"/>
        <v>0</v>
      </c>
      <c r="O109" s="99">
        <f t="shared" si="20"/>
        <v>119.22104999999999</v>
      </c>
    </row>
    <row r="110" spans="1:15" ht="15.75">
      <c r="A110" s="159">
        <v>14</v>
      </c>
      <c r="B110" s="168">
        <v>42982</v>
      </c>
      <c r="C110" s="169">
        <v>0.62361111111111112</v>
      </c>
      <c r="D110" s="160" t="s">
        <v>195</v>
      </c>
      <c r="E110" s="161">
        <v>5</v>
      </c>
      <c r="F110" s="162" t="s">
        <v>196</v>
      </c>
      <c r="G110" s="163">
        <v>1</v>
      </c>
      <c r="H110" s="181">
        <v>1617</v>
      </c>
      <c r="I110" s="165">
        <f>H110*1.125</f>
        <v>1819.125</v>
      </c>
      <c r="J110" s="181">
        <v>0</v>
      </c>
      <c r="K110" s="182">
        <f t="shared" si="16"/>
        <v>0</v>
      </c>
      <c r="L110" s="167">
        <f>I110+K110</f>
        <v>1819.125</v>
      </c>
      <c r="M110" s="167">
        <f t="shared" si="18"/>
        <v>0</v>
      </c>
      <c r="N110" s="167">
        <f t="shared" si="19"/>
        <v>0</v>
      </c>
      <c r="O110" s="167">
        <f t="shared" si="20"/>
        <v>90.956250000000011</v>
      </c>
    </row>
    <row r="111" spans="1:15" ht="15.75">
      <c r="A111" s="145">
        <v>15</v>
      </c>
      <c r="B111" s="148">
        <v>43000</v>
      </c>
      <c r="C111" s="149">
        <v>0.66041666666666665</v>
      </c>
      <c r="D111" s="146" t="s">
        <v>197</v>
      </c>
      <c r="E111" s="150">
        <v>5</v>
      </c>
      <c r="F111" s="156" t="s">
        <v>96</v>
      </c>
      <c r="G111" s="122">
        <v>1</v>
      </c>
      <c r="H111" s="100">
        <v>1627</v>
      </c>
      <c r="I111" s="101">
        <f t="shared" si="21"/>
        <v>1830.375</v>
      </c>
      <c r="J111" s="152">
        <v>0</v>
      </c>
      <c r="K111" s="99">
        <f t="shared" si="16"/>
        <v>0</v>
      </c>
      <c r="L111" s="99">
        <f>I111+K111</f>
        <v>1830.375</v>
      </c>
      <c r="M111" s="99">
        <f t="shared" si="18"/>
        <v>0</v>
      </c>
      <c r="N111" s="99">
        <f t="shared" si="19"/>
        <v>0</v>
      </c>
      <c r="O111" s="99">
        <f t="shared" si="20"/>
        <v>91.518750000000011</v>
      </c>
    </row>
    <row r="112" spans="1:15" ht="31.5">
      <c r="A112" s="147">
        <v>16</v>
      </c>
      <c r="B112" s="148">
        <v>42964</v>
      </c>
      <c r="C112" s="149">
        <v>0.71527777777777779</v>
      </c>
      <c r="D112" s="146" t="s">
        <v>198</v>
      </c>
      <c r="E112" s="150">
        <v>4.9000000000000004</v>
      </c>
      <c r="F112" s="151" t="s">
        <v>123</v>
      </c>
      <c r="G112" s="106">
        <v>1</v>
      </c>
      <c r="H112" s="100">
        <v>2356</v>
      </c>
      <c r="I112" s="101">
        <f t="shared" si="21"/>
        <v>2650.5</v>
      </c>
      <c r="J112" s="152">
        <v>1</v>
      </c>
      <c r="K112" s="99">
        <f t="shared" si="16"/>
        <v>51.323999999999998</v>
      </c>
      <c r="L112" s="99">
        <f>K112+I112</f>
        <v>2701.8240000000001</v>
      </c>
      <c r="M112" s="99">
        <f t="shared" si="18"/>
        <v>0</v>
      </c>
      <c r="N112" s="99">
        <f t="shared" si="19"/>
        <v>0</v>
      </c>
      <c r="O112" s="99">
        <f t="shared" si="20"/>
        <v>135.09120000000001</v>
      </c>
    </row>
    <row r="113" spans="1:15" ht="15.75">
      <c r="A113" s="147">
        <v>17</v>
      </c>
      <c r="B113" s="148">
        <v>42982</v>
      </c>
      <c r="C113" s="149">
        <v>0.62152777777777779</v>
      </c>
      <c r="D113" s="146" t="s">
        <v>195</v>
      </c>
      <c r="E113" s="150">
        <v>4.9000000000000004</v>
      </c>
      <c r="F113" s="151" t="s">
        <v>97</v>
      </c>
      <c r="G113" s="106">
        <v>1</v>
      </c>
      <c r="H113" s="153">
        <v>2125</v>
      </c>
      <c r="I113" s="101">
        <f t="shared" si="21"/>
        <v>2390.625</v>
      </c>
      <c r="J113" s="153">
        <v>0</v>
      </c>
      <c r="K113" s="99">
        <f t="shared" si="16"/>
        <v>0</v>
      </c>
      <c r="L113" s="99">
        <f>K113+I113</f>
        <v>2390.625</v>
      </c>
      <c r="M113" s="99">
        <f t="shared" si="18"/>
        <v>0</v>
      </c>
      <c r="N113" s="99">
        <f t="shared" si="19"/>
        <v>0</v>
      </c>
      <c r="O113" s="99">
        <f t="shared" si="20"/>
        <v>119.53125</v>
      </c>
    </row>
    <row r="114" spans="1:15" ht="47.25">
      <c r="A114" s="172">
        <v>18</v>
      </c>
      <c r="B114" s="168">
        <v>43000</v>
      </c>
      <c r="C114" s="169">
        <v>0.68680555555555556</v>
      </c>
      <c r="D114" s="160" t="s">
        <v>165</v>
      </c>
      <c r="E114" s="161" t="s">
        <v>199</v>
      </c>
      <c r="F114" s="173" t="s">
        <v>200</v>
      </c>
      <c r="G114" s="174">
        <v>3</v>
      </c>
      <c r="H114" s="175">
        <v>2008</v>
      </c>
      <c r="I114" s="165">
        <f t="shared" si="21"/>
        <v>2259</v>
      </c>
      <c r="J114" s="171">
        <v>5</v>
      </c>
      <c r="K114" s="167">
        <f t="shared" si="16"/>
        <v>256.62</v>
      </c>
      <c r="L114" s="167">
        <f>K114+I114</f>
        <v>2515.62</v>
      </c>
      <c r="M114" s="167">
        <f t="shared" si="18"/>
        <v>0</v>
      </c>
      <c r="N114" s="167">
        <f t="shared" si="19"/>
        <v>0</v>
      </c>
      <c r="O114" s="167">
        <f t="shared" si="20"/>
        <v>125.78100000000001</v>
      </c>
    </row>
    <row r="115" spans="1:15" ht="31.5">
      <c r="A115" s="147">
        <v>19</v>
      </c>
      <c r="B115" s="148">
        <v>42969</v>
      </c>
      <c r="C115" s="149"/>
      <c r="D115" s="146" t="s">
        <v>201</v>
      </c>
      <c r="E115" s="150">
        <v>4.7</v>
      </c>
      <c r="F115" s="151" t="s">
        <v>134</v>
      </c>
      <c r="G115" s="106">
        <v>1</v>
      </c>
      <c r="H115" s="100">
        <v>600</v>
      </c>
      <c r="I115" s="101">
        <f>H115*1.13</f>
        <v>677.99999999999989</v>
      </c>
      <c r="J115" s="152">
        <v>0</v>
      </c>
      <c r="K115" s="99">
        <f t="shared" si="16"/>
        <v>0</v>
      </c>
      <c r="L115" s="99">
        <f>K115+I115</f>
        <v>677.99999999999989</v>
      </c>
      <c r="M115" s="99">
        <f t="shared" si="18"/>
        <v>0</v>
      </c>
      <c r="N115" s="99">
        <f t="shared" si="19"/>
        <v>0</v>
      </c>
      <c r="O115" s="99">
        <f t="shared" si="20"/>
        <v>33.9</v>
      </c>
    </row>
    <row r="116" spans="1:15" ht="31.5">
      <c r="A116" s="159">
        <v>20</v>
      </c>
      <c r="B116" s="168">
        <v>42982</v>
      </c>
      <c r="C116" s="169">
        <v>0.62291666666666667</v>
      </c>
      <c r="D116" s="160" t="s">
        <v>195</v>
      </c>
      <c r="E116" s="161">
        <v>4.7</v>
      </c>
      <c r="F116" s="162" t="s">
        <v>202</v>
      </c>
      <c r="G116" s="163">
        <v>1</v>
      </c>
      <c r="H116" s="181">
        <v>1617</v>
      </c>
      <c r="I116" s="165">
        <f t="shared" ref="I116:I137" si="22">H116*1.13</f>
        <v>1827.2099999999998</v>
      </c>
      <c r="J116" s="181">
        <v>0</v>
      </c>
      <c r="K116" s="182">
        <f t="shared" si="16"/>
        <v>0</v>
      </c>
      <c r="L116" s="167">
        <f t="shared" ref="L116:L121" si="23">I116+K116</f>
        <v>1827.2099999999998</v>
      </c>
      <c r="M116" s="167">
        <f t="shared" si="18"/>
        <v>0</v>
      </c>
      <c r="N116" s="167">
        <f t="shared" si="19"/>
        <v>0</v>
      </c>
      <c r="O116" s="167">
        <f t="shared" si="20"/>
        <v>91.360500000000002</v>
      </c>
    </row>
    <row r="117" spans="1:15" ht="31.5">
      <c r="A117" s="145">
        <v>21</v>
      </c>
      <c r="B117" s="148">
        <v>42985</v>
      </c>
      <c r="C117" s="149">
        <v>0.63194444444444442</v>
      </c>
      <c r="D117" s="146" t="s">
        <v>203</v>
      </c>
      <c r="E117" s="150">
        <v>4.7</v>
      </c>
      <c r="F117" s="151" t="s">
        <v>135</v>
      </c>
      <c r="G117" s="106">
        <v>1</v>
      </c>
      <c r="H117" s="100">
        <v>600</v>
      </c>
      <c r="I117" s="101">
        <f t="shared" si="22"/>
        <v>677.99999999999989</v>
      </c>
      <c r="J117" s="152">
        <v>2</v>
      </c>
      <c r="K117" s="99">
        <f t="shared" si="16"/>
        <v>102.648</v>
      </c>
      <c r="L117" s="99">
        <f t="shared" si="23"/>
        <v>780.64799999999991</v>
      </c>
      <c r="M117" s="99">
        <f t="shared" si="18"/>
        <v>0</v>
      </c>
      <c r="N117" s="99">
        <f t="shared" si="19"/>
        <v>0</v>
      </c>
      <c r="O117" s="99">
        <f t="shared" si="20"/>
        <v>39.032399999999996</v>
      </c>
    </row>
    <row r="118" spans="1:15" ht="31.5">
      <c r="A118" s="147">
        <v>22</v>
      </c>
      <c r="B118" s="148">
        <v>42985</v>
      </c>
      <c r="C118" s="149">
        <v>0.63263888888888886</v>
      </c>
      <c r="D118" s="146" t="s">
        <v>203</v>
      </c>
      <c r="E118" s="150">
        <v>4.7</v>
      </c>
      <c r="F118" s="151" t="s">
        <v>136</v>
      </c>
      <c r="G118" s="106">
        <v>2</v>
      </c>
      <c r="H118" s="100">
        <v>7669</v>
      </c>
      <c r="I118" s="101">
        <f t="shared" si="22"/>
        <v>8665.9699999999993</v>
      </c>
      <c r="J118" s="152">
        <v>4</v>
      </c>
      <c r="K118" s="99">
        <f t="shared" si="16"/>
        <v>205.29599999999999</v>
      </c>
      <c r="L118" s="99">
        <f t="shared" si="23"/>
        <v>8871.2659999999996</v>
      </c>
      <c r="M118" s="99">
        <f t="shared" si="18"/>
        <v>0</v>
      </c>
      <c r="N118" s="99">
        <f t="shared" si="19"/>
        <v>0</v>
      </c>
      <c r="O118" s="99">
        <f t="shared" si="20"/>
        <v>443.56330000000003</v>
      </c>
    </row>
    <row r="119" spans="1:15" ht="31.5">
      <c r="A119" s="147">
        <v>23</v>
      </c>
      <c r="B119" s="148">
        <v>42985</v>
      </c>
      <c r="C119" s="149">
        <v>0.6333333333333333</v>
      </c>
      <c r="D119" s="146" t="s">
        <v>203</v>
      </c>
      <c r="E119" s="150">
        <v>4.7</v>
      </c>
      <c r="F119" s="151" t="s">
        <v>137</v>
      </c>
      <c r="G119" s="106">
        <v>2</v>
      </c>
      <c r="H119" s="100">
        <v>1100</v>
      </c>
      <c r="I119" s="101">
        <f t="shared" si="22"/>
        <v>1242.9999999999998</v>
      </c>
      <c r="J119" s="152">
        <v>2</v>
      </c>
      <c r="K119" s="99">
        <f t="shared" si="16"/>
        <v>102.648</v>
      </c>
      <c r="L119" s="99">
        <f t="shared" si="23"/>
        <v>1345.6479999999997</v>
      </c>
      <c r="M119" s="99">
        <f t="shared" si="18"/>
        <v>0</v>
      </c>
      <c r="N119" s="99">
        <f t="shared" si="19"/>
        <v>0</v>
      </c>
      <c r="O119" s="99">
        <f t="shared" si="20"/>
        <v>67.282399999999981</v>
      </c>
    </row>
    <row r="120" spans="1:15" ht="31.5">
      <c r="A120" s="145">
        <v>24</v>
      </c>
      <c r="B120" s="148">
        <v>42985</v>
      </c>
      <c r="C120" s="149">
        <v>0.63402777777777775</v>
      </c>
      <c r="D120" s="146" t="s">
        <v>203</v>
      </c>
      <c r="E120" s="150">
        <v>4.7</v>
      </c>
      <c r="F120" s="151" t="s">
        <v>138</v>
      </c>
      <c r="G120" s="106">
        <v>2</v>
      </c>
      <c r="H120" s="100">
        <v>2119</v>
      </c>
      <c r="I120" s="101">
        <f t="shared" si="22"/>
        <v>2394.4699999999998</v>
      </c>
      <c r="J120" s="152">
        <v>5</v>
      </c>
      <c r="K120" s="99">
        <f t="shared" si="16"/>
        <v>256.62</v>
      </c>
      <c r="L120" s="99">
        <f t="shared" si="23"/>
        <v>2651.0899999999997</v>
      </c>
      <c r="M120" s="99">
        <f t="shared" si="18"/>
        <v>0</v>
      </c>
      <c r="N120" s="99">
        <f t="shared" si="19"/>
        <v>0</v>
      </c>
      <c r="O120" s="99">
        <f t="shared" si="20"/>
        <v>132.55449999999999</v>
      </c>
    </row>
    <row r="121" spans="1:15" ht="31.5">
      <c r="A121" s="147">
        <v>25</v>
      </c>
      <c r="B121" s="148">
        <v>42985</v>
      </c>
      <c r="C121" s="149">
        <v>0.63750000000000007</v>
      </c>
      <c r="D121" s="146" t="s">
        <v>203</v>
      </c>
      <c r="E121" s="150">
        <v>4.7</v>
      </c>
      <c r="F121" s="151" t="s">
        <v>139</v>
      </c>
      <c r="G121" s="106">
        <v>3</v>
      </c>
      <c r="H121" s="100">
        <v>3393</v>
      </c>
      <c r="I121" s="101">
        <f t="shared" si="22"/>
        <v>3834.0899999999997</v>
      </c>
      <c r="J121" s="152">
        <v>4</v>
      </c>
      <c r="K121" s="99">
        <f t="shared" si="16"/>
        <v>205.29599999999999</v>
      </c>
      <c r="L121" s="99">
        <f t="shared" si="23"/>
        <v>4039.3859999999995</v>
      </c>
      <c r="M121" s="99">
        <f t="shared" si="18"/>
        <v>0</v>
      </c>
      <c r="N121" s="99">
        <f t="shared" si="19"/>
        <v>0</v>
      </c>
      <c r="O121" s="99">
        <f t="shared" si="20"/>
        <v>201.96929999999998</v>
      </c>
    </row>
    <row r="122" spans="1:15" ht="31.5">
      <c r="A122" s="147">
        <v>26</v>
      </c>
      <c r="B122" s="148">
        <v>42985</v>
      </c>
      <c r="C122" s="149">
        <v>0.6381944444444444</v>
      </c>
      <c r="D122" s="146" t="s">
        <v>203</v>
      </c>
      <c r="E122" s="150">
        <v>4.7</v>
      </c>
      <c r="F122" s="151" t="s">
        <v>140</v>
      </c>
      <c r="G122" s="106">
        <v>3</v>
      </c>
      <c r="H122" s="100">
        <v>5220</v>
      </c>
      <c r="I122" s="101">
        <f t="shared" si="22"/>
        <v>5898.5999999999995</v>
      </c>
      <c r="J122" s="152">
        <v>5</v>
      </c>
      <c r="K122" s="99">
        <f t="shared" si="16"/>
        <v>256.62</v>
      </c>
      <c r="L122" s="99">
        <f>I122+K122</f>
        <v>6155.2199999999993</v>
      </c>
      <c r="M122" s="99">
        <f t="shared" si="18"/>
        <v>0</v>
      </c>
      <c r="N122" s="99">
        <f t="shared" si="19"/>
        <v>0</v>
      </c>
      <c r="O122" s="99">
        <f>L122*0.05</f>
        <v>307.76099999999997</v>
      </c>
    </row>
    <row r="123" spans="1:15" ht="47.25">
      <c r="A123" s="145">
        <v>27</v>
      </c>
      <c r="B123" s="148">
        <v>42985</v>
      </c>
      <c r="C123" s="149">
        <v>0.63888888888888895</v>
      </c>
      <c r="D123" s="146" t="s">
        <v>203</v>
      </c>
      <c r="E123" s="150">
        <v>4.7</v>
      </c>
      <c r="F123" s="151" t="s">
        <v>141</v>
      </c>
      <c r="G123" s="106">
        <v>3</v>
      </c>
      <c r="H123" s="100">
        <v>2772</v>
      </c>
      <c r="I123" s="101">
        <f t="shared" si="22"/>
        <v>3132.3599999999997</v>
      </c>
      <c r="J123" s="152">
        <v>3</v>
      </c>
      <c r="K123" s="99">
        <f t="shared" si="16"/>
        <v>153.97199999999998</v>
      </c>
      <c r="L123" s="99">
        <f t="shared" ref="L123:L134" si="24">I123+K123</f>
        <v>3286.3319999999994</v>
      </c>
      <c r="M123" s="99">
        <f t="shared" si="18"/>
        <v>0</v>
      </c>
      <c r="N123" s="99">
        <f t="shared" si="19"/>
        <v>0</v>
      </c>
      <c r="O123" s="99">
        <f t="shared" ref="O123:O137" si="25">L123*0.05</f>
        <v>164.31659999999999</v>
      </c>
    </row>
    <row r="124" spans="1:15" ht="31.5">
      <c r="A124" s="147">
        <v>28</v>
      </c>
      <c r="B124" s="148">
        <v>42985</v>
      </c>
      <c r="C124" s="149">
        <v>0.64097222222222217</v>
      </c>
      <c r="D124" s="146" t="s">
        <v>203</v>
      </c>
      <c r="E124" s="150">
        <v>4.7</v>
      </c>
      <c r="F124" s="151" t="s">
        <v>142</v>
      </c>
      <c r="G124" s="106">
        <v>1</v>
      </c>
      <c r="H124" s="100">
        <v>1249</v>
      </c>
      <c r="I124" s="101">
        <f t="shared" si="22"/>
        <v>1411.37</v>
      </c>
      <c r="J124" s="152">
        <v>2</v>
      </c>
      <c r="K124" s="99">
        <f t="shared" si="16"/>
        <v>102.648</v>
      </c>
      <c r="L124" s="99">
        <f t="shared" si="24"/>
        <v>1514.0179999999998</v>
      </c>
      <c r="M124" s="99">
        <f t="shared" si="18"/>
        <v>0</v>
      </c>
      <c r="N124" s="99">
        <f t="shared" si="19"/>
        <v>0</v>
      </c>
      <c r="O124" s="99">
        <f t="shared" si="25"/>
        <v>75.70089999999999</v>
      </c>
    </row>
    <row r="125" spans="1:15" ht="31.5">
      <c r="A125" s="147">
        <v>29</v>
      </c>
      <c r="B125" s="148">
        <v>42985</v>
      </c>
      <c r="C125" s="149">
        <v>0.64236111111111105</v>
      </c>
      <c r="D125" s="146" t="s">
        <v>203</v>
      </c>
      <c r="E125" s="150">
        <v>4.7</v>
      </c>
      <c r="F125" s="151" t="s">
        <v>143</v>
      </c>
      <c r="G125" s="106">
        <v>1</v>
      </c>
      <c r="H125" s="100">
        <v>1433</v>
      </c>
      <c r="I125" s="101">
        <f t="shared" si="22"/>
        <v>1619.2899999999997</v>
      </c>
      <c r="J125" s="152">
        <v>3</v>
      </c>
      <c r="K125" s="99">
        <f t="shared" si="16"/>
        <v>153.97199999999998</v>
      </c>
      <c r="L125" s="99">
        <f t="shared" si="24"/>
        <v>1773.2619999999997</v>
      </c>
      <c r="M125" s="99">
        <f t="shared" si="18"/>
        <v>0</v>
      </c>
      <c r="N125" s="99">
        <f t="shared" si="19"/>
        <v>0</v>
      </c>
      <c r="O125" s="99">
        <f t="shared" si="25"/>
        <v>88.663099999999986</v>
      </c>
    </row>
    <row r="126" spans="1:15" ht="47.25">
      <c r="A126" s="172">
        <v>30</v>
      </c>
      <c r="B126" s="168">
        <v>42985</v>
      </c>
      <c r="C126" s="169">
        <v>0.64374999999999993</v>
      </c>
      <c r="D126" s="160" t="s">
        <v>203</v>
      </c>
      <c r="E126" s="161">
        <v>4.7</v>
      </c>
      <c r="F126" s="162" t="s">
        <v>204</v>
      </c>
      <c r="G126" s="163">
        <v>5</v>
      </c>
      <c r="H126" s="175">
        <v>6060</v>
      </c>
      <c r="I126" s="165">
        <f t="shared" si="22"/>
        <v>6847.7999999999993</v>
      </c>
      <c r="J126" s="171">
        <v>4</v>
      </c>
      <c r="K126" s="167">
        <f t="shared" si="16"/>
        <v>205.29599999999999</v>
      </c>
      <c r="L126" s="167">
        <f t="shared" si="24"/>
        <v>7053.0959999999995</v>
      </c>
      <c r="M126" s="167">
        <f t="shared" si="18"/>
        <v>0</v>
      </c>
      <c r="N126" s="167">
        <f t="shared" si="19"/>
        <v>0</v>
      </c>
      <c r="O126" s="167">
        <f t="shared" si="25"/>
        <v>352.65480000000002</v>
      </c>
    </row>
    <row r="127" spans="1:15" ht="31.5">
      <c r="A127" s="159">
        <v>31</v>
      </c>
      <c r="B127" s="168">
        <v>42985</v>
      </c>
      <c r="C127" s="169">
        <v>0.64444444444444449</v>
      </c>
      <c r="D127" s="160" t="s">
        <v>203</v>
      </c>
      <c r="E127" s="161">
        <v>4.7</v>
      </c>
      <c r="F127" s="162" t="s">
        <v>205</v>
      </c>
      <c r="G127" s="163">
        <v>4</v>
      </c>
      <c r="H127" s="175">
        <v>6054</v>
      </c>
      <c r="I127" s="165">
        <f t="shared" si="22"/>
        <v>6841.0199999999995</v>
      </c>
      <c r="J127" s="171">
        <v>6</v>
      </c>
      <c r="K127" s="167">
        <f t="shared" si="16"/>
        <v>307.94399999999996</v>
      </c>
      <c r="L127" s="167">
        <f t="shared" si="24"/>
        <v>7148.9639999999999</v>
      </c>
      <c r="M127" s="167">
        <f t="shared" si="18"/>
        <v>0</v>
      </c>
      <c r="N127" s="167">
        <f t="shared" si="19"/>
        <v>0</v>
      </c>
      <c r="O127" s="167">
        <f t="shared" si="25"/>
        <v>357.44820000000004</v>
      </c>
    </row>
    <row r="128" spans="1:15" ht="47.25">
      <c r="A128" s="159">
        <v>32</v>
      </c>
      <c r="B128" s="168">
        <v>42985</v>
      </c>
      <c r="C128" s="169">
        <v>0.64513888888888882</v>
      </c>
      <c r="D128" s="160" t="s">
        <v>203</v>
      </c>
      <c r="E128" s="161">
        <v>4.7</v>
      </c>
      <c r="F128" s="162" t="s">
        <v>206</v>
      </c>
      <c r="G128" s="163">
        <v>3</v>
      </c>
      <c r="H128" s="175">
        <v>5143</v>
      </c>
      <c r="I128" s="165">
        <f t="shared" si="22"/>
        <v>5811.5899999999992</v>
      </c>
      <c r="J128" s="171">
        <v>4</v>
      </c>
      <c r="K128" s="167">
        <f t="shared" si="16"/>
        <v>205.29599999999999</v>
      </c>
      <c r="L128" s="167">
        <f t="shared" si="24"/>
        <v>6016.8859999999995</v>
      </c>
      <c r="M128" s="167">
        <f t="shared" si="18"/>
        <v>0</v>
      </c>
      <c r="N128" s="167">
        <f t="shared" si="19"/>
        <v>0</v>
      </c>
      <c r="O128" s="167">
        <f t="shared" si="25"/>
        <v>300.84429999999998</v>
      </c>
    </row>
    <row r="129" spans="1:15" ht="47.25">
      <c r="A129" s="145">
        <v>33</v>
      </c>
      <c r="B129" s="148">
        <v>42985</v>
      </c>
      <c r="C129" s="149">
        <v>0.64583333333333337</v>
      </c>
      <c r="D129" s="146" t="s">
        <v>203</v>
      </c>
      <c r="E129" s="150">
        <v>4.7</v>
      </c>
      <c r="F129" s="151" t="s">
        <v>207</v>
      </c>
      <c r="G129" s="106">
        <v>2</v>
      </c>
      <c r="H129" s="100">
        <v>2498</v>
      </c>
      <c r="I129" s="101">
        <f t="shared" si="22"/>
        <v>2822.74</v>
      </c>
      <c r="J129" s="152">
        <v>4</v>
      </c>
      <c r="K129" s="99">
        <f t="shared" si="16"/>
        <v>205.29599999999999</v>
      </c>
      <c r="L129" s="99">
        <f t="shared" si="24"/>
        <v>3028.0359999999996</v>
      </c>
      <c r="M129" s="99">
        <f t="shared" si="18"/>
        <v>0</v>
      </c>
      <c r="N129" s="99">
        <f t="shared" si="19"/>
        <v>0</v>
      </c>
      <c r="O129" s="99">
        <f t="shared" si="25"/>
        <v>151.40179999999998</v>
      </c>
    </row>
    <row r="130" spans="1:15" ht="31.5">
      <c r="A130" s="147">
        <v>34</v>
      </c>
      <c r="B130" s="148">
        <v>42985</v>
      </c>
      <c r="C130" s="149">
        <v>0.64652777777777781</v>
      </c>
      <c r="D130" s="146" t="s">
        <v>203</v>
      </c>
      <c r="E130" s="150">
        <v>4.7</v>
      </c>
      <c r="F130" s="151" t="s">
        <v>208</v>
      </c>
      <c r="G130" s="106">
        <v>1</v>
      </c>
      <c r="H130" s="100">
        <v>2249</v>
      </c>
      <c r="I130" s="101">
        <f t="shared" si="22"/>
        <v>2541.37</v>
      </c>
      <c r="J130" s="152">
        <v>2</v>
      </c>
      <c r="K130" s="99">
        <f t="shared" si="16"/>
        <v>102.648</v>
      </c>
      <c r="L130" s="99">
        <f t="shared" si="24"/>
        <v>2644.018</v>
      </c>
      <c r="M130" s="99">
        <f t="shared" si="18"/>
        <v>0</v>
      </c>
      <c r="N130" s="99">
        <f t="shared" si="19"/>
        <v>0</v>
      </c>
      <c r="O130" s="99">
        <f t="shared" si="25"/>
        <v>132.20090000000002</v>
      </c>
    </row>
    <row r="131" spans="1:15" ht="31.5">
      <c r="A131" s="147">
        <v>35</v>
      </c>
      <c r="B131" s="148">
        <v>42985</v>
      </c>
      <c r="C131" s="149">
        <v>0.65069444444444446</v>
      </c>
      <c r="D131" s="146" t="s">
        <v>203</v>
      </c>
      <c r="E131" s="150">
        <v>4.7</v>
      </c>
      <c r="F131" s="151" t="s">
        <v>209</v>
      </c>
      <c r="G131" s="106">
        <v>1</v>
      </c>
      <c r="H131" s="100">
        <v>3497</v>
      </c>
      <c r="I131" s="101">
        <f t="shared" si="22"/>
        <v>3951.6099999999997</v>
      </c>
      <c r="J131" s="152">
        <v>2</v>
      </c>
      <c r="K131" s="99">
        <f t="shared" si="16"/>
        <v>102.648</v>
      </c>
      <c r="L131" s="99">
        <f t="shared" si="24"/>
        <v>4054.2579999999998</v>
      </c>
      <c r="M131" s="99">
        <f t="shared" si="18"/>
        <v>0</v>
      </c>
      <c r="N131" s="99">
        <f t="shared" si="19"/>
        <v>0</v>
      </c>
      <c r="O131" s="99">
        <f t="shared" si="25"/>
        <v>202.71289999999999</v>
      </c>
    </row>
    <row r="132" spans="1:15" ht="31.5">
      <c r="A132" s="145">
        <v>36</v>
      </c>
      <c r="B132" s="148">
        <v>42985</v>
      </c>
      <c r="C132" s="149">
        <v>0.65</v>
      </c>
      <c r="D132" s="146" t="s">
        <v>203</v>
      </c>
      <c r="E132" s="150">
        <v>4.7</v>
      </c>
      <c r="F132" s="151" t="s">
        <v>210</v>
      </c>
      <c r="G132" s="106">
        <v>1</v>
      </c>
      <c r="H132" s="100">
        <v>929</v>
      </c>
      <c r="I132" s="101">
        <f t="shared" si="22"/>
        <v>1049.77</v>
      </c>
      <c r="J132" s="152">
        <v>2</v>
      </c>
      <c r="K132" s="99">
        <f t="shared" si="16"/>
        <v>102.648</v>
      </c>
      <c r="L132" s="99">
        <f t="shared" si="24"/>
        <v>1152.4179999999999</v>
      </c>
      <c r="M132" s="99">
        <f t="shared" si="18"/>
        <v>0</v>
      </c>
      <c r="N132" s="99">
        <f t="shared" si="19"/>
        <v>0</v>
      </c>
      <c r="O132" s="99">
        <f t="shared" si="25"/>
        <v>57.620899999999999</v>
      </c>
    </row>
    <row r="133" spans="1:15" ht="31.5">
      <c r="A133" s="147">
        <v>37</v>
      </c>
      <c r="B133" s="148">
        <v>42985</v>
      </c>
      <c r="C133" s="149">
        <v>0.65138888888888891</v>
      </c>
      <c r="D133" s="146" t="s">
        <v>203</v>
      </c>
      <c r="E133" s="150">
        <v>4.7</v>
      </c>
      <c r="F133" s="151" t="s">
        <v>211</v>
      </c>
      <c r="G133" s="106">
        <v>2</v>
      </c>
      <c r="H133" s="100">
        <v>3809</v>
      </c>
      <c r="I133" s="101">
        <f>H133*1.13</f>
        <v>4304.1699999999992</v>
      </c>
      <c r="J133" s="152">
        <v>3</v>
      </c>
      <c r="K133" s="99">
        <f t="shared" si="16"/>
        <v>153.97199999999998</v>
      </c>
      <c r="L133" s="99">
        <f t="shared" si="24"/>
        <v>4458.1419999999989</v>
      </c>
      <c r="M133" s="99">
        <f t="shared" si="18"/>
        <v>0</v>
      </c>
      <c r="N133" s="99">
        <f t="shared" si="19"/>
        <v>0</v>
      </c>
      <c r="O133" s="99">
        <f t="shared" si="25"/>
        <v>222.90709999999996</v>
      </c>
    </row>
    <row r="134" spans="1:15" ht="31.5">
      <c r="A134" s="147">
        <v>38</v>
      </c>
      <c r="B134" s="148">
        <v>42985</v>
      </c>
      <c r="C134" s="149">
        <v>0.65208333333333335</v>
      </c>
      <c r="D134" s="146" t="s">
        <v>203</v>
      </c>
      <c r="E134" s="150">
        <v>4.7</v>
      </c>
      <c r="F134" s="151" t="s">
        <v>212</v>
      </c>
      <c r="G134" s="106">
        <v>4</v>
      </c>
      <c r="H134" s="100">
        <v>3974</v>
      </c>
      <c r="I134" s="101">
        <f t="shared" si="22"/>
        <v>4490.62</v>
      </c>
      <c r="J134" s="152">
        <v>6</v>
      </c>
      <c r="K134" s="99">
        <f t="shared" si="16"/>
        <v>307.94399999999996</v>
      </c>
      <c r="L134" s="99">
        <f t="shared" si="24"/>
        <v>4798.5640000000003</v>
      </c>
      <c r="M134" s="99">
        <f t="shared" si="18"/>
        <v>0</v>
      </c>
      <c r="N134" s="99">
        <f t="shared" si="19"/>
        <v>0</v>
      </c>
      <c r="O134" s="99">
        <f t="shared" si="25"/>
        <v>239.92820000000003</v>
      </c>
    </row>
    <row r="135" spans="1:15" ht="31.5">
      <c r="A135" s="145">
        <v>39</v>
      </c>
      <c r="B135" s="148">
        <v>42992</v>
      </c>
      <c r="C135" s="149">
        <v>0.69861111111111107</v>
      </c>
      <c r="D135" s="146" t="s">
        <v>161</v>
      </c>
      <c r="E135" s="150">
        <v>4.7</v>
      </c>
      <c r="F135" s="151" t="s">
        <v>213</v>
      </c>
      <c r="G135" s="106">
        <v>3</v>
      </c>
      <c r="H135" s="158">
        <v>7445</v>
      </c>
      <c r="I135" s="101">
        <f t="shared" si="22"/>
        <v>8412.8499999999985</v>
      </c>
      <c r="J135" s="152">
        <v>0</v>
      </c>
      <c r="K135" s="99">
        <f t="shared" si="16"/>
        <v>0</v>
      </c>
      <c r="L135" s="99">
        <f>SUM(K135+I135)</f>
        <v>8412.8499999999985</v>
      </c>
      <c r="M135" s="99">
        <f t="shared" si="18"/>
        <v>0</v>
      </c>
      <c r="N135" s="99">
        <f t="shared" si="19"/>
        <v>0</v>
      </c>
      <c r="O135" s="99">
        <f t="shared" si="25"/>
        <v>420.64249999999993</v>
      </c>
    </row>
    <row r="136" spans="1:15" ht="31.5">
      <c r="A136" s="147">
        <v>40</v>
      </c>
      <c r="B136" s="148">
        <v>42992</v>
      </c>
      <c r="C136" s="149">
        <v>0.69930555555555562</v>
      </c>
      <c r="D136" s="146" t="s">
        <v>161</v>
      </c>
      <c r="E136" s="150">
        <v>4.7</v>
      </c>
      <c r="F136" s="151" t="s">
        <v>214</v>
      </c>
      <c r="G136" s="106">
        <v>1</v>
      </c>
      <c r="H136" s="158">
        <v>328</v>
      </c>
      <c r="I136" s="101">
        <v>579.68200000000002</v>
      </c>
      <c r="J136" s="152">
        <v>0</v>
      </c>
      <c r="K136" s="99">
        <f t="shared" si="16"/>
        <v>0</v>
      </c>
      <c r="L136" s="99">
        <f>SUM(K136+I136)</f>
        <v>579.68200000000002</v>
      </c>
      <c r="M136" s="99">
        <f t="shared" si="18"/>
        <v>0</v>
      </c>
      <c r="N136" s="99">
        <f t="shared" si="19"/>
        <v>0</v>
      </c>
      <c r="O136" s="99">
        <f t="shared" si="25"/>
        <v>28.984100000000002</v>
      </c>
    </row>
    <row r="137" spans="1:15" ht="31.5">
      <c r="A137" s="147">
        <v>41</v>
      </c>
      <c r="B137" s="148">
        <v>42992</v>
      </c>
      <c r="C137" s="149">
        <v>0.7006944444444444</v>
      </c>
      <c r="D137" s="146" t="s">
        <v>161</v>
      </c>
      <c r="E137" s="150">
        <v>4.7</v>
      </c>
      <c r="F137" s="151" t="s">
        <v>215</v>
      </c>
      <c r="G137" s="106">
        <v>1</v>
      </c>
      <c r="H137" s="158">
        <v>3104</v>
      </c>
      <c r="I137" s="101">
        <f t="shared" si="22"/>
        <v>3507.5199999999995</v>
      </c>
      <c r="J137" s="152">
        <v>2</v>
      </c>
      <c r="K137" s="99">
        <f t="shared" si="16"/>
        <v>102.648</v>
      </c>
      <c r="L137" s="99">
        <f>SUM(K137+I137)</f>
        <v>3610.1679999999997</v>
      </c>
      <c r="M137" s="99">
        <f t="shared" si="18"/>
        <v>0</v>
      </c>
      <c r="N137" s="99">
        <f t="shared" si="19"/>
        <v>0</v>
      </c>
      <c r="O137" s="99">
        <f t="shared" si="25"/>
        <v>180.50839999999999</v>
      </c>
    </row>
    <row r="138" spans="1:15" ht="15.75">
      <c r="A138" s="147">
        <v>41</v>
      </c>
      <c r="B138" s="148"/>
      <c r="C138" s="149"/>
      <c r="D138" s="146"/>
      <c r="E138" s="150"/>
      <c r="F138" s="154" t="s">
        <v>177</v>
      </c>
      <c r="G138" s="183">
        <f t="shared" ref="G138:O138" si="26">SUM(G97:G137)</f>
        <v>72</v>
      </c>
      <c r="H138" s="183">
        <f t="shared" si="26"/>
        <v>109667</v>
      </c>
      <c r="I138" s="184">
        <f t="shared" si="26"/>
        <v>123948.727</v>
      </c>
      <c r="J138" s="183">
        <f t="shared" si="26"/>
        <v>91</v>
      </c>
      <c r="K138" s="184">
        <f t="shared" si="26"/>
        <v>4670.4839999999995</v>
      </c>
      <c r="L138" s="184">
        <f t="shared" si="26"/>
        <v>128619.21099999998</v>
      </c>
      <c r="M138" s="184">
        <f t="shared" si="26"/>
        <v>0</v>
      </c>
      <c r="N138" s="184">
        <f t="shared" si="26"/>
        <v>0</v>
      </c>
      <c r="O138" s="184">
        <f t="shared" si="26"/>
        <v>6430.9605499999989</v>
      </c>
    </row>
    <row r="139" spans="1:15" ht="15.75">
      <c r="G139" s="251">
        <v>2021</v>
      </c>
    </row>
    <row r="140" spans="1:15" ht="31.5">
      <c r="A140" s="147">
        <v>1</v>
      </c>
      <c r="B140" s="148">
        <v>42993</v>
      </c>
      <c r="C140" s="149">
        <v>0.66666666666666663</v>
      </c>
      <c r="D140" s="146" t="s">
        <v>161</v>
      </c>
      <c r="E140" s="150">
        <v>7.7</v>
      </c>
      <c r="F140" s="151" t="s">
        <v>117</v>
      </c>
      <c r="G140" s="106">
        <v>1</v>
      </c>
      <c r="H140" s="158">
        <v>5220</v>
      </c>
      <c r="I140" s="101">
        <f>H140*1.125</f>
        <v>5872.5</v>
      </c>
      <c r="J140" s="152">
        <v>0</v>
      </c>
      <c r="K140" s="99">
        <f t="shared" ref="K140:K180" si="27">J140*51.324</f>
        <v>0</v>
      </c>
      <c r="L140" s="99">
        <f t="shared" ref="L140:L145" si="28">SUM(K140+I140)</f>
        <v>5872.5</v>
      </c>
      <c r="M140" s="99">
        <f t="shared" ref="M140:M180" si="29">L140*V142</f>
        <v>0</v>
      </c>
      <c r="N140" s="99">
        <f t="shared" ref="N140:N180" si="30">L140*W142</f>
        <v>0</v>
      </c>
      <c r="O140" s="99">
        <f t="shared" ref="O140:O164" si="31">L140*0.05</f>
        <v>293.625</v>
      </c>
    </row>
    <row r="141" spans="1:15" ht="47.25">
      <c r="A141" s="147">
        <v>2</v>
      </c>
      <c r="B141" s="148">
        <v>42992</v>
      </c>
      <c r="C141" s="149">
        <v>0.74513888888888891</v>
      </c>
      <c r="D141" s="146" t="s">
        <v>161</v>
      </c>
      <c r="E141" s="150">
        <v>7.7</v>
      </c>
      <c r="F141" s="151" t="s">
        <v>118</v>
      </c>
      <c r="G141" s="106">
        <v>1</v>
      </c>
      <c r="H141" s="158">
        <v>1495</v>
      </c>
      <c r="I141" s="101">
        <f t="shared" ref="I141:I157" si="32">H141*1.125</f>
        <v>1681.875</v>
      </c>
      <c r="J141" s="152">
        <v>0</v>
      </c>
      <c r="K141" s="99">
        <f t="shared" si="27"/>
        <v>0</v>
      </c>
      <c r="L141" s="99">
        <f t="shared" si="28"/>
        <v>1681.875</v>
      </c>
      <c r="M141" s="99">
        <f t="shared" si="29"/>
        <v>0</v>
      </c>
      <c r="N141" s="99">
        <f t="shared" si="30"/>
        <v>0</v>
      </c>
      <c r="O141" s="99">
        <f t="shared" si="31"/>
        <v>84.09375</v>
      </c>
    </row>
    <row r="142" spans="1:15" ht="31.5">
      <c r="A142" s="145">
        <v>3</v>
      </c>
      <c r="B142" s="148">
        <v>42992</v>
      </c>
      <c r="C142" s="149">
        <v>0.74791666666666667</v>
      </c>
      <c r="D142" s="146" t="s">
        <v>161</v>
      </c>
      <c r="E142" s="150">
        <v>7.7</v>
      </c>
      <c r="F142" s="151" t="s">
        <v>119</v>
      </c>
      <c r="G142" s="106">
        <v>1</v>
      </c>
      <c r="H142" s="158">
        <v>1100</v>
      </c>
      <c r="I142" s="101">
        <f t="shared" si="32"/>
        <v>1237.5</v>
      </c>
      <c r="J142" s="152">
        <v>0</v>
      </c>
      <c r="K142" s="99">
        <f t="shared" si="27"/>
        <v>0</v>
      </c>
      <c r="L142" s="99">
        <f t="shared" si="28"/>
        <v>1237.5</v>
      </c>
      <c r="M142" s="99">
        <f t="shared" si="29"/>
        <v>0</v>
      </c>
      <c r="N142" s="99">
        <f t="shared" si="30"/>
        <v>0</v>
      </c>
      <c r="O142" s="99">
        <f t="shared" si="31"/>
        <v>61.875</v>
      </c>
    </row>
    <row r="143" spans="1:15" ht="31.5">
      <c r="A143" s="147">
        <v>4</v>
      </c>
      <c r="B143" s="148">
        <v>42992</v>
      </c>
      <c r="C143" s="149">
        <v>0.74861111111111101</v>
      </c>
      <c r="D143" s="146" t="s">
        <v>161</v>
      </c>
      <c r="E143" s="150">
        <v>7.7</v>
      </c>
      <c r="F143" s="151" t="s">
        <v>120</v>
      </c>
      <c r="G143" s="106">
        <v>1</v>
      </c>
      <c r="H143" s="158">
        <v>1127</v>
      </c>
      <c r="I143" s="101">
        <f t="shared" si="32"/>
        <v>1267.875</v>
      </c>
      <c r="J143" s="152">
        <v>0</v>
      </c>
      <c r="K143" s="99">
        <f t="shared" si="27"/>
        <v>0</v>
      </c>
      <c r="L143" s="99">
        <f t="shared" si="28"/>
        <v>1267.875</v>
      </c>
      <c r="M143" s="99">
        <f t="shared" si="29"/>
        <v>0</v>
      </c>
      <c r="N143" s="99">
        <f t="shared" si="30"/>
        <v>0</v>
      </c>
      <c r="O143" s="99">
        <f t="shared" si="31"/>
        <v>63.393750000000004</v>
      </c>
    </row>
    <row r="144" spans="1:15" ht="31.5">
      <c r="A144" s="159">
        <v>5</v>
      </c>
      <c r="B144" s="168">
        <v>42993</v>
      </c>
      <c r="C144" s="169">
        <v>0.67083333333333339</v>
      </c>
      <c r="D144" s="160" t="s">
        <v>161</v>
      </c>
      <c r="E144" s="161">
        <v>7.7</v>
      </c>
      <c r="F144" s="162" t="s">
        <v>189</v>
      </c>
      <c r="G144" s="163">
        <v>1</v>
      </c>
      <c r="H144" s="170">
        <v>3826</v>
      </c>
      <c r="I144" s="165">
        <f t="shared" si="32"/>
        <v>4304.25</v>
      </c>
      <c r="J144" s="171">
        <v>2</v>
      </c>
      <c r="K144" s="167">
        <f t="shared" si="27"/>
        <v>102.648</v>
      </c>
      <c r="L144" s="167">
        <f t="shared" si="28"/>
        <v>4406.8980000000001</v>
      </c>
      <c r="M144" s="167">
        <f t="shared" si="29"/>
        <v>0</v>
      </c>
      <c r="N144" s="167">
        <f t="shared" si="30"/>
        <v>0</v>
      </c>
      <c r="O144" s="167">
        <f t="shared" si="31"/>
        <v>220.34490000000002</v>
      </c>
    </row>
    <row r="145" spans="1:15" ht="31.5">
      <c r="A145" s="145">
        <v>6</v>
      </c>
      <c r="B145" s="148">
        <v>42992</v>
      </c>
      <c r="C145" s="149">
        <v>0.75</v>
      </c>
      <c r="D145" s="146" t="s">
        <v>161</v>
      </c>
      <c r="E145" s="150">
        <v>7.2</v>
      </c>
      <c r="F145" s="151" t="s">
        <v>121</v>
      </c>
      <c r="G145" s="106">
        <v>1</v>
      </c>
      <c r="H145" s="158">
        <v>1884</v>
      </c>
      <c r="I145" s="101">
        <f t="shared" si="32"/>
        <v>2119.5</v>
      </c>
      <c r="J145" s="152">
        <v>0</v>
      </c>
      <c r="K145" s="99">
        <f t="shared" si="27"/>
        <v>0</v>
      </c>
      <c r="L145" s="99">
        <f t="shared" si="28"/>
        <v>2119.5</v>
      </c>
      <c r="M145" s="99">
        <f t="shared" si="29"/>
        <v>0</v>
      </c>
      <c r="N145" s="99">
        <f t="shared" si="30"/>
        <v>0</v>
      </c>
      <c r="O145" s="99">
        <f t="shared" si="31"/>
        <v>105.97500000000001</v>
      </c>
    </row>
    <row r="146" spans="1:15" ht="31.5">
      <c r="A146" s="159">
        <v>7</v>
      </c>
      <c r="B146" s="168">
        <v>43000</v>
      </c>
      <c r="C146" s="169">
        <v>0.6777777777777777</v>
      </c>
      <c r="D146" s="160" t="s">
        <v>168</v>
      </c>
      <c r="E146" s="161">
        <v>6.2</v>
      </c>
      <c r="F146" s="173" t="s">
        <v>190</v>
      </c>
      <c r="G146" s="174">
        <v>1</v>
      </c>
      <c r="H146" s="175">
        <v>1771</v>
      </c>
      <c r="I146" s="165">
        <f t="shared" si="32"/>
        <v>1992.375</v>
      </c>
      <c r="J146" s="171">
        <v>2</v>
      </c>
      <c r="K146" s="167">
        <f t="shared" si="27"/>
        <v>102.648</v>
      </c>
      <c r="L146" s="167">
        <f>I146+K146</f>
        <v>2095.0230000000001</v>
      </c>
      <c r="M146" s="167">
        <f t="shared" si="29"/>
        <v>0</v>
      </c>
      <c r="N146" s="167">
        <f t="shared" si="30"/>
        <v>0</v>
      </c>
      <c r="O146" s="167">
        <f t="shared" si="31"/>
        <v>104.75115000000001</v>
      </c>
    </row>
    <row r="147" spans="1:15" ht="47.25">
      <c r="A147" s="147">
        <v>8</v>
      </c>
      <c r="B147" s="148">
        <v>43000</v>
      </c>
      <c r="C147" s="149">
        <v>0.6777777777777777</v>
      </c>
      <c r="D147" s="146" t="s">
        <v>168</v>
      </c>
      <c r="E147" s="150">
        <v>6.2</v>
      </c>
      <c r="F147" s="156" t="s">
        <v>191</v>
      </c>
      <c r="G147" s="122">
        <v>1</v>
      </c>
      <c r="H147" s="100">
        <v>1715</v>
      </c>
      <c r="I147" s="101">
        <f t="shared" si="32"/>
        <v>1929.375</v>
      </c>
      <c r="J147" s="152">
        <v>0</v>
      </c>
      <c r="K147" s="99">
        <f t="shared" si="27"/>
        <v>0</v>
      </c>
      <c r="L147" s="99">
        <f>I147+K147</f>
        <v>1929.375</v>
      </c>
      <c r="M147" s="99">
        <f t="shared" si="29"/>
        <v>0</v>
      </c>
      <c r="N147" s="99">
        <f t="shared" si="30"/>
        <v>0</v>
      </c>
      <c r="O147" s="99">
        <f t="shared" si="31"/>
        <v>96.46875</v>
      </c>
    </row>
    <row r="148" spans="1:15" ht="31.5">
      <c r="A148" s="145">
        <v>9</v>
      </c>
      <c r="B148" s="148">
        <v>42975</v>
      </c>
      <c r="C148" s="149">
        <v>0.4777777777777778</v>
      </c>
      <c r="D148" s="146" t="s">
        <v>162</v>
      </c>
      <c r="E148" s="150" t="s">
        <v>192</v>
      </c>
      <c r="F148" s="151" t="s">
        <v>64</v>
      </c>
      <c r="G148" s="106">
        <v>2</v>
      </c>
      <c r="H148" s="100">
        <v>1831</v>
      </c>
      <c r="I148" s="101">
        <f t="shared" si="32"/>
        <v>2059.875</v>
      </c>
      <c r="J148" s="152">
        <v>4</v>
      </c>
      <c r="K148" s="99">
        <f t="shared" si="27"/>
        <v>205.29599999999999</v>
      </c>
      <c r="L148" s="99">
        <f>K148+I148</f>
        <v>2265.1709999999998</v>
      </c>
      <c r="M148" s="99">
        <f t="shared" si="29"/>
        <v>0</v>
      </c>
      <c r="N148" s="99">
        <f t="shared" si="30"/>
        <v>0</v>
      </c>
      <c r="O148" s="99">
        <f t="shared" si="31"/>
        <v>113.25855</v>
      </c>
    </row>
    <row r="149" spans="1:15" ht="47.25">
      <c r="A149" s="159">
        <v>10</v>
      </c>
      <c r="B149" s="168">
        <v>43000</v>
      </c>
      <c r="C149" s="169">
        <v>0.66875000000000007</v>
      </c>
      <c r="D149" s="160" t="s">
        <v>165</v>
      </c>
      <c r="E149" s="161" t="s">
        <v>193</v>
      </c>
      <c r="F149" s="173" t="s">
        <v>102</v>
      </c>
      <c r="G149" s="174">
        <v>4</v>
      </c>
      <c r="H149" s="175">
        <v>2137</v>
      </c>
      <c r="I149" s="165">
        <f t="shared" si="32"/>
        <v>2404.125</v>
      </c>
      <c r="J149" s="171">
        <v>6</v>
      </c>
      <c r="K149" s="167">
        <f t="shared" si="27"/>
        <v>307.94399999999996</v>
      </c>
      <c r="L149" s="167">
        <f>K149+I149</f>
        <v>2712.069</v>
      </c>
      <c r="M149" s="167">
        <f t="shared" si="29"/>
        <v>0</v>
      </c>
      <c r="N149" s="167">
        <f t="shared" si="30"/>
        <v>0</v>
      </c>
      <c r="O149" s="167">
        <f t="shared" si="31"/>
        <v>135.60345000000001</v>
      </c>
    </row>
    <row r="150" spans="1:15" ht="31.5">
      <c r="A150" s="147">
        <v>11</v>
      </c>
      <c r="B150" s="148">
        <v>42992</v>
      </c>
      <c r="C150" s="149">
        <v>0.73402777777777783</v>
      </c>
      <c r="D150" s="146" t="s">
        <v>161</v>
      </c>
      <c r="E150" s="150">
        <v>5.7</v>
      </c>
      <c r="F150" s="151" t="s">
        <v>122</v>
      </c>
      <c r="G150" s="106">
        <v>1</v>
      </c>
      <c r="H150" s="158">
        <v>980</v>
      </c>
      <c r="I150" s="101">
        <f t="shared" si="32"/>
        <v>1102.5</v>
      </c>
      <c r="J150" s="152">
        <v>0</v>
      </c>
      <c r="K150" s="99">
        <f t="shared" si="27"/>
        <v>0</v>
      </c>
      <c r="L150" s="99">
        <f>SUM(K150+I150)</f>
        <v>1102.5</v>
      </c>
      <c r="M150" s="99">
        <f t="shared" si="29"/>
        <v>0</v>
      </c>
      <c r="N150" s="99">
        <f t="shared" si="30"/>
        <v>0</v>
      </c>
      <c r="O150" s="99">
        <f t="shared" si="31"/>
        <v>55.125</v>
      </c>
    </row>
    <row r="151" spans="1:15" ht="47.25">
      <c r="A151" s="172">
        <v>12</v>
      </c>
      <c r="B151" s="168">
        <v>42993</v>
      </c>
      <c r="C151" s="169">
        <v>0.41666666666666669</v>
      </c>
      <c r="D151" s="160" t="s">
        <v>166</v>
      </c>
      <c r="E151" s="161">
        <v>5.7</v>
      </c>
      <c r="F151" s="162" t="s">
        <v>194</v>
      </c>
      <c r="G151" s="163">
        <v>1</v>
      </c>
      <c r="H151" s="175">
        <v>2049</v>
      </c>
      <c r="I151" s="165">
        <f t="shared" si="32"/>
        <v>2305.125</v>
      </c>
      <c r="J151" s="171">
        <v>2</v>
      </c>
      <c r="K151" s="167">
        <f t="shared" si="27"/>
        <v>102.648</v>
      </c>
      <c r="L151" s="167">
        <f>K151+I151</f>
        <v>2407.7730000000001</v>
      </c>
      <c r="M151" s="167">
        <f t="shared" si="29"/>
        <v>0</v>
      </c>
      <c r="N151" s="167">
        <f t="shared" si="30"/>
        <v>0</v>
      </c>
      <c r="O151" s="167">
        <f t="shared" si="31"/>
        <v>120.38865000000001</v>
      </c>
    </row>
    <row r="152" spans="1:15" ht="31.5">
      <c r="A152" s="147">
        <v>13</v>
      </c>
      <c r="B152" s="148">
        <v>42993</v>
      </c>
      <c r="C152" s="149">
        <v>0.64444444444444449</v>
      </c>
      <c r="D152" s="146" t="s">
        <v>167</v>
      </c>
      <c r="E152" s="150">
        <v>5.7</v>
      </c>
      <c r="F152" s="151" t="s">
        <v>95</v>
      </c>
      <c r="G152" s="106">
        <v>1</v>
      </c>
      <c r="H152" s="100">
        <v>1937</v>
      </c>
      <c r="I152" s="101">
        <f t="shared" si="32"/>
        <v>2179.125</v>
      </c>
      <c r="J152" s="152">
        <v>4</v>
      </c>
      <c r="K152" s="99">
        <f t="shared" si="27"/>
        <v>205.29599999999999</v>
      </c>
      <c r="L152" s="99">
        <f>I152+K152</f>
        <v>2384.4209999999998</v>
      </c>
      <c r="M152" s="99">
        <f t="shared" si="29"/>
        <v>0</v>
      </c>
      <c r="N152" s="99">
        <f t="shared" si="30"/>
        <v>0</v>
      </c>
      <c r="O152" s="99">
        <f t="shared" si="31"/>
        <v>119.22104999999999</v>
      </c>
    </row>
    <row r="153" spans="1:15" ht="15.75">
      <c r="A153" s="159">
        <v>14</v>
      </c>
      <c r="B153" s="168">
        <v>42982</v>
      </c>
      <c r="C153" s="169">
        <v>0.62361111111111112</v>
      </c>
      <c r="D153" s="160" t="s">
        <v>195</v>
      </c>
      <c r="E153" s="161">
        <v>5</v>
      </c>
      <c r="F153" s="162" t="s">
        <v>196</v>
      </c>
      <c r="G153" s="163">
        <v>1</v>
      </c>
      <c r="H153" s="181">
        <v>1617</v>
      </c>
      <c r="I153" s="165">
        <f>H153*1.125</f>
        <v>1819.125</v>
      </c>
      <c r="J153" s="181">
        <v>0</v>
      </c>
      <c r="K153" s="182">
        <f t="shared" si="27"/>
        <v>0</v>
      </c>
      <c r="L153" s="167">
        <f>I153+K153</f>
        <v>1819.125</v>
      </c>
      <c r="M153" s="167">
        <f t="shared" si="29"/>
        <v>0</v>
      </c>
      <c r="N153" s="167">
        <f t="shared" si="30"/>
        <v>0</v>
      </c>
      <c r="O153" s="167">
        <f t="shared" si="31"/>
        <v>90.956250000000011</v>
      </c>
    </row>
    <row r="154" spans="1:15" ht="15.75">
      <c r="A154" s="145">
        <v>15</v>
      </c>
      <c r="B154" s="148">
        <v>43000</v>
      </c>
      <c r="C154" s="149">
        <v>0.66041666666666665</v>
      </c>
      <c r="D154" s="146" t="s">
        <v>197</v>
      </c>
      <c r="E154" s="150">
        <v>5</v>
      </c>
      <c r="F154" s="156" t="s">
        <v>96</v>
      </c>
      <c r="G154" s="122">
        <v>1</v>
      </c>
      <c r="H154" s="100">
        <v>1627</v>
      </c>
      <c r="I154" s="101">
        <f t="shared" si="32"/>
        <v>1830.375</v>
      </c>
      <c r="J154" s="152">
        <v>0</v>
      </c>
      <c r="K154" s="99">
        <f t="shared" si="27"/>
        <v>0</v>
      </c>
      <c r="L154" s="99">
        <f>I154+K154</f>
        <v>1830.375</v>
      </c>
      <c r="M154" s="99">
        <f t="shared" si="29"/>
        <v>0</v>
      </c>
      <c r="N154" s="99">
        <f t="shared" si="30"/>
        <v>0</v>
      </c>
      <c r="O154" s="99">
        <f t="shared" si="31"/>
        <v>91.518750000000011</v>
      </c>
    </row>
    <row r="155" spans="1:15" ht="31.5">
      <c r="A155" s="147">
        <v>16</v>
      </c>
      <c r="B155" s="148">
        <v>42964</v>
      </c>
      <c r="C155" s="149">
        <v>0.71527777777777779</v>
      </c>
      <c r="D155" s="146" t="s">
        <v>198</v>
      </c>
      <c r="E155" s="150">
        <v>4.9000000000000004</v>
      </c>
      <c r="F155" s="151" t="s">
        <v>123</v>
      </c>
      <c r="G155" s="106">
        <v>1</v>
      </c>
      <c r="H155" s="100">
        <v>2356</v>
      </c>
      <c r="I155" s="101">
        <f t="shared" si="32"/>
        <v>2650.5</v>
      </c>
      <c r="J155" s="152">
        <v>1</v>
      </c>
      <c r="K155" s="99">
        <f t="shared" si="27"/>
        <v>51.323999999999998</v>
      </c>
      <c r="L155" s="99">
        <f>K155+I155</f>
        <v>2701.8240000000001</v>
      </c>
      <c r="M155" s="99">
        <f t="shared" si="29"/>
        <v>0</v>
      </c>
      <c r="N155" s="99">
        <f t="shared" si="30"/>
        <v>0</v>
      </c>
      <c r="O155" s="99">
        <f t="shared" si="31"/>
        <v>135.09120000000001</v>
      </c>
    </row>
    <row r="156" spans="1:15" ht="15.75">
      <c r="A156" s="147">
        <v>17</v>
      </c>
      <c r="B156" s="148">
        <v>42982</v>
      </c>
      <c r="C156" s="149">
        <v>0.62152777777777779</v>
      </c>
      <c r="D156" s="146" t="s">
        <v>195</v>
      </c>
      <c r="E156" s="150">
        <v>4.9000000000000004</v>
      </c>
      <c r="F156" s="151" t="s">
        <v>97</v>
      </c>
      <c r="G156" s="106">
        <v>1</v>
      </c>
      <c r="H156" s="153">
        <v>2125</v>
      </c>
      <c r="I156" s="101">
        <f t="shared" si="32"/>
        <v>2390.625</v>
      </c>
      <c r="J156" s="153">
        <v>0</v>
      </c>
      <c r="K156" s="99">
        <f t="shared" si="27"/>
        <v>0</v>
      </c>
      <c r="L156" s="99">
        <f>K156+I156</f>
        <v>2390.625</v>
      </c>
      <c r="M156" s="99">
        <f t="shared" si="29"/>
        <v>0</v>
      </c>
      <c r="N156" s="99">
        <f t="shared" si="30"/>
        <v>0</v>
      </c>
      <c r="O156" s="99">
        <f t="shared" si="31"/>
        <v>119.53125</v>
      </c>
    </row>
    <row r="157" spans="1:15" ht="47.25">
      <c r="A157" s="172">
        <v>18</v>
      </c>
      <c r="B157" s="168">
        <v>43000</v>
      </c>
      <c r="C157" s="169">
        <v>0.68680555555555556</v>
      </c>
      <c r="D157" s="160" t="s">
        <v>165</v>
      </c>
      <c r="E157" s="161" t="s">
        <v>199</v>
      </c>
      <c r="F157" s="173" t="s">
        <v>200</v>
      </c>
      <c r="G157" s="174">
        <v>3</v>
      </c>
      <c r="H157" s="175">
        <v>2008</v>
      </c>
      <c r="I157" s="165">
        <f t="shared" si="32"/>
        <v>2259</v>
      </c>
      <c r="J157" s="171">
        <v>5</v>
      </c>
      <c r="K157" s="167">
        <f t="shared" si="27"/>
        <v>256.62</v>
      </c>
      <c r="L157" s="167">
        <f>K157+I157</f>
        <v>2515.62</v>
      </c>
      <c r="M157" s="167">
        <f t="shared" si="29"/>
        <v>0</v>
      </c>
      <c r="N157" s="167">
        <f t="shared" si="30"/>
        <v>0</v>
      </c>
      <c r="O157" s="167">
        <f t="shared" si="31"/>
        <v>125.78100000000001</v>
      </c>
    </row>
    <row r="158" spans="1:15" ht="31.5">
      <c r="A158" s="147">
        <v>19</v>
      </c>
      <c r="B158" s="148">
        <v>42969</v>
      </c>
      <c r="C158" s="149"/>
      <c r="D158" s="146" t="s">
        <v>201</v>
      </c>
      <c r="E158" s="150">
        <v>4.7</v>
      </c>
      <c r="F158" s="151" t="s">
        <v>134</v>
      </c>
      <c r="G158" s="106">
        <v>1</v>
      </c>
      <c r="H158" s="100">
        <v>600</v>
      </c>
      <c r="I158" s="101">
        <f>H158*1.13</f>
        <v>677.99999999999989</v>
      </c>
      <c r="J158" s="152">
        <v>0</v>
      </c>
      <c r="K158" s="99">
        <f t="shared" si="27"/>
        <v>0</v>
      </c>
      <c r="L158" s="99">
        <f>K158+I158</f>
        <v>677.99999999999989</v>
      </c>
      <c r="M158" s="99">
        <f t="shared" si="29"/>
        <v>0</v>
      </c>
      <c r="N158" s="99">
        <f t="shared" si="30"/>
        <v>0</v>
      </c>
      <c r="O158" s="99">
        <f t="shared" si="31"/>
        <v>33.9</v>
      </c>
    </row>
    <row r="159" spans="1:15" ht="31.5">
      <c r="A159" s="159">
        <v>20</v>
      </c>
      <c r="B159" s="168">
        <v>42982</v>
      </c>
      <c r="C159" s="169">
        <v>0.62291666666666667</v>
      </c>
      <c r="D159" s="160" t="s">
        <v>195</v>
      </c>
      <c r="E159" s="161">
        <v>4.7</v>
      </c>
      <c r="F159" s="162" t="s">
        <v>202</v>
      </c>
      <c r="G159" s="163">
        <v>1</v>
      </c>
      <c r="H159" s="181">
        <v>1617</v>
      </c>
      <c r="I159" s="165">
        <f t="shared" ref="I159:I180" si="33">H159*1.13</f>
        <v>1827.2099999999998</v>
      </c>
      <c r="J159" s="181">
        <v>0</v>
      </c>
      <c r="K159" s="182">
        <f t="shared" si="27"/>
        <v>0</v>
      </c>
      <c r="L159" s="167">
        <f t="shared" ref="L159:L164" si="34">I159+K159</f>
        <v>1827.2099999999998</v>
      </c>
      <c r="M159" s="167">
        <f t="shared" si="29"/>
        <v>0</v>
      </c>
      <c r="N159" s="167">
        <f t="shared" si="30"/>
        <v>0</v>
      </c>
      <c r="O159" s="167">
        <f t="shared" si="31"/>
        <v>91.360500000000002</v>
      </c>
    </row>
    <row r="160" spans="1:15" ht="31.5">
      <c r="A160" s="145">
        <v>21</v>
      </c>
      <c r="B160" s="148">
        <v>42985</v>
      </c>
      <c r="C160" s="149">
        <v>0.63194444444444442</v>
      </c>
      <c r="D160" s="146" t="s">
        <v>203</v>
      </c>
      <c r="E160" s="150">
        <v>4.7</v>
      </c>
      <c r="F160" s="151" t="s">
        <v>135</v>
      </c>
      <c r="G160" s="106">
        <v>1</v>
      </c>
      <c r="H160" s="100">
        <v>600</v>
      </c>
      <c r="I160" s="101">
        <f t="shared" si="33"/>
        <v>677.99999999999989</v>
      </c>
      <c r="J160" s="152">
        <v>2</v>
      </c>
      <c r="K160" s="99">
        <f t="shared" si="27"/>
        <v>102.648</v>
      </c>
      <c r="L160" s="99">
        <f t="shared" si="34"/>
        <v>780.64799999999991</v>
      </c>
      <c r="M160" s="99">
        <f t="shared" si="29"/>
        <v>0</v>
      </c>
      <c r="N160" s="99">
        <f t="shared" si="30"/>
        <v>0</v>
      </c>
      <c r="O160" s="99">
        <f t="shared" si="31"/>
        <v>39.032399999999996</v>
      </c>
    </row>
    <row r="161" spans="1:15" ht="31.5">
      <c r="A161" s="147">
        <v>22</v>
      </c>
      <c r="B161" s="148">
        <v>42985</v>
      </c>
      <c r="C161" s="149">
        <v>0.63263888888888886</v>
      </c>
      <c r="D161" s="146" t="s">
        <v>203</v>
      </c>
      <c r="E161" s="150">
        <v>4.7</v>
      </c>
      <c r="F161" s="151" t="s">
        <v>136</v>
      </c>
      <c r="G161" s="106">
        <v>2</v>
      </c>
      <c r="H161" s="100">
        <v>7669</v>
      </c>
      <c r="I161" s="101">
        <f t="shared" si="33"/>
        <v>8665.9699999999993</v>
      </c>
      <c r="J161" s="152">
        <v>4</v>
      </c>
      <c r="K161" s="99">
        <f t="shared" si="27"/>
        <v>205.29599999999999</v>
      </c>
      <c r="L161" s="99">
        <f t="shared" si="34"/>
        <v>8871.2659999999996</v>
      </c>
      <c r="M161" s="99">
        <f t="shared" si="29"/>
        <v>0</v>
      </c>
      <c r="N161" s="99">
        <f t="shared" si="30"/>
        <v>0</v>
      </c>
      <c r="O161" s="99">
        <f t="shared" si="31"/>
        <v>443.56330000000003</v>
      </c>
    </row>
    <row r="162" spans="1:15" ht="31.5">
      <c r="A162" s="147">
        <v>23</v>
      </c>
      <c r="B162" s="148">
        <v>42985</v>
      </c>
      <c r="C162" s="149">
        <v>0.6333333333333333</v>
      </c>
      <c r="D162" s="146" t="s">
        <v>203</v>
      </c>
      <c r="E162" s="150">
        <v>4.7</v>
      </c>
      <c r="F162" s="151" t="s">
        <v>137</v>
      </c>
      <c r="G162" s="106">
        <v>2</v>
      </c>
      <c r="H162" s="100">
        <v>1100</v>
      </c>
      <c r="I162" s="101">
        <f t="shared" si="33"/>
        <v>1242.9999999999998</v>
      </c>
      <c r="J162" s="152">
        <v>2</v>
      </c>
      <c r="K162" s="99">
        <f t="shared" si="27"/>
        <v>102.648</v>
      </c>
      <c r="L162" s="99">
        <f t="shared" si="34"/>
        <v>1345.6479999999997</v>
      </c>
      <c r="M162" s="99">
        <f t="shared" si="29"/>
        <v>0</v>
      </c>
      <c r="N162" s="99">
        <f t="shared" si="30"/>
        <v>0</v>
      </c>
      <c r="O162" s="99">
        <f t="shared" si="31"/>
        <v>67.282399999999981</v>
      </c>
    </row>
    <row r="163" spans="1:15" ht="31.5">
      <c r="A163" s="145">
        <v>24</v>
      </c>
      <c r="B163" s="148">
        <v>42985</v>
      </c>
      <c r="C163" s="149">
        <v>0.63402777777777775</v>
      </c>
      <c r="D163" s="146" t="s">
        <v>203</v>
      </c>
      <c r="E163" s="150">
        <v>4.7</v>
      </c>
      <c r="F163" s="151" t="s">
        <v>138</v>
      </c>
      <c r="G163" s="106">
        <v>2</v>
      </c>
      <c r="H163" s="100">
        <v>2119</v>
      </c>
      <c r="I163" s="101">
        <f t="shared" si="33"/>
        <v>2394.4699999999998</v>
      </c>
      <c r="J163" s="152">
        <v>5</v>
      </c>
      <c r="K163" s="99">
        <f t="shared" si="27"/>
        <v>256.62</v>
      </c>
      <c r="L163" s="99">
        <f t="shared" si="34"/>
        <v>2651.0899999999997</v>
      </c>
      <c r="M163" s="99">
        <f t="shared" si="29"/>
        <v>0</v>
      </c>
      <c r="N163" s="99">
        <f t="shared" si="30"/>
        <v>0</v>
      </c>
      <c r="O163" s="99">
        <f t="shared" si="31"/>
        <v>132.55449999999999</v>
      </c>
    </row>
    <row r="164" spans="1:15" ht="31.5">
      <c r="A164" s="147">
        <v>25</v>
      </c>
      <c r="B164" s="148">
        <v>42985</v>
      </c>
      <c r="C164" s="149">
        <v>0.63750000000000007</v>
      </c>
      <c r="D164" s="146" t="s">
        <v>203</v>
      </c>
      <c r="E164" s="150">
        <v>4.7</v>
      </c>
      <c r="F164" s="151" t="s">
        <v>139</v>
      </c>
      <c r="G164" s="106">
        <v>3</v>
      </c>
      <c r="H164" s="100">
        <v>3393</v>
      </c>
      <c r="I164" s="101">
        <f t="shared" si="33"/>
        <v>3834.0899999999997</v>
      </c>
      <c r="J164" s="152">
        <v>4</v>
      </c>
      <c r="K164" s="99">
        <f t="shared" si="27"/>
        <v>205.29599999999999</v>
      </c>
      <c r="L164" s="99">
        <f t="shared" si="34"/>
        <v>4039.3859999999995</v>
      </c>
      <c r="M164" s="99">
        <f t="shared" si="29"/>
        <v>0</v>
      </c>
      <c r="N164" s="99">
        <f t="shared" si="30"/>
        <v>0</v>
      </c>
      <c r="O164" s="99">
        <f t="shared" si="31"/>
        <v>201.96929999999998</v>
      </c>
    </row>
    <row r="165" spans="1:15" ht="31.5">
      <c r="A165" s="147">
        <v>26</v>
      </c>
      <c r="B165" s="148">
        <v>42985</v>
      </c>
      <c r="C165" s="149">
        <v>0.6381944444444444</v>
      </c>
      <c r="D165" s="146" t="s">
        <v>203</v>
      </c>
      <c r="E165" s="150">
        <v>4.7</v>
      </c>
      <c r="F165" s="151" t="s">
        <v>140</v>
      </c>
      <c r="G165" s="106">
        <v>3</v>
      </c>
      <c r="H165" s="100">
        <v>5220</v>
      </c>
      <c r="I165" s="101">
        <f t="shared" si="33"/>
        <v>5898.5999999999995</v>
      </c>
      <c r="J165" s="152">
        <v>5</v>
      </c>
      <c r="K165" s="99">
        <f t="shared" si="27"/>
        <v>256.62</v>
      </c>
      <c r="L165" s="99">
        <f>I165+K165</f>
        <v>6155.2199999999993</v>
      </c>
      <c r="M165" s="99">
        <f t="shared" si="29"/>
        <v>0</v>
      </c>
      <c r="N165" s="99">
        <f t="shared" si="30"/>
        <v>0</v>
      </c>
      <c r="O165" s="99">
        <f>L165*0.05</f>
        <v>307.76099999999997</v>
      </c>
    </row>
    <row r="166" spans="1:15" ht="47.25">
      <c r="A166" s="145">
        <v>27</v>
      </c>
      <c r="B166" s="148">
        <v>42985</v>
      </c>
      <c r="C166" s="149">
        <v>0.63888888888888895</v>
      </c>
      <c r="D166" s="146" t="s">
        <v>203</v>
      </c>
      <c r="E166" s="150">
        <v>4.7</v>
      </c>
      <c r="F166" s="151" t="s">
        <v>141</v>
      </c>
      <c r="G166" s="106">
        <v>3</v>
      </c>
      <c r="H166" s="100">
        <v>2772</v>
      </c>
      <c r="I166" s="101">
        <f t="shared" si="33"/>
        <v>3132.3599999999997</v>
      </c>
      <c r="J166" s="152">
        <v>3</v>
      </c>
      <c r="K166" s="99">
        <f t="shared" si="27"/>
        <v>153.97199999999998</v>
      </c>
      <c r="L166" s="99">
        <f t="shared" ref="L166:L177" si="35">I166+K166</f>
        <v>3286.3319999999994</v>
      </c>
      <c r="M166" s="99">
        <f t="shared" si="29"/>
        <v>0</v>
      </c>
      <c r="N166" s="99">
        <f t="shared" si="30"/>
        <v>0</v>
      </c>
      <c r="O166" s="99">
        <f t="shared" ref="O166:O180" si="36">L166*0.05</f>
        <v>164.31659999999999</v>
      </c>
    </row>
    <row r="167" spans="1:15" ht="31.5">
      <c r="A167" s="147">
        <v>28</v>
      </c>
      <c r="B167" s="148">
        <v>42985</v>
      </c>
      <c r="C167" s="149">
        <v>0.64097222222222217</v>
      </c>
      <c r="D167" s="146" t="s">
        <v>203</v>
      </c>
      <c r="E167" s="150">
        <v>4.7</v>
      </c>
      <c r="F167" s="151" t="s">
        <v>142</v>
      </c>
      <c r="G167" s="106">
        <v>1</v>
      </c>
      <c r="H167" s="100">
        <v>1249</v>
      </c>
      <c r="I167" s="101">
        <f t="shared" si="33"/>
        <v>1411.37</v>
      </c>
      <c r="J167" s="152">
        <v>2</v>
      </c>
      <c r="K167" s="99">
        <f t="shared" si="27"/>
        <v>102.648</v>
      </c>
      <c r="L167" s="99">
        <f t="shared" si="35"/>
        <v>1514.0179999999998</v>
      </c>
      <c r="M167" s="99">
        <f t="shared" si="29"/>
        <v>0</v>
      </c>
      <c r="N167" s="99">
        <f t="shared" si="30"/>
        <v>0</v>
      </c>
      <c r="O167" s="99">
        <f t="shared" si="36"/>
        <v>75.70089999999999</v>
      </c>
    </row>
    <row r="168" spans="1:15" ht="31.5">
      <c r="A168" s="147">
        <v>29</v>
      </c>
      <c r="B168" s="148">
        <v>42985</v>
      </c>
      <c r="C168" s="149">
        <v>0.64236111111111105</v>
      </c>
      <c r="D168" s="146" t="s">
        <v>203</v>
      </c>
      <c r="E168" s="150">
        <v>4.7</v>
      </c>
      <c r="F168" s="151" t="s">
        <v>143</v>
      </c>
      <c r="G168" s="106">
        <v>1</v>
      </c>
      <c r="H168" s="100">
        <v>1433</v>
      </c>
      <c r="I168" s="101">
        <f t="shared" si="33"/>
        <v>1619.2899999999997</v>
      </c>
      <c r="J168" s="152">
        <v>3</v>
      </c>
      <c r="K168" s="99">
        <f t="shared" si="27"/>
        <v>153.97199999999998</v>
      </c>
      <c r="L168" s="99">
        <f t="shared" si="35"/>
        <v>1773.2619999999997</v>
      </c>
      <c r="M168" s="99">
        <f t="shared" si="29"/>
        <v>0</v>
      </c>
      <c r="N168" s="99">
        <f t="shared" si="30"/>
        <v>0</v>
      </c>
      <c r="O168" s="99">
        <f t="shared" si="36"/>
        <v>88.663099999999986</v>
      </c>
    </row>
    <row r="169" spans="1:15" ht="47.25">
      <c r="A169" s="172">
        <v>30</v>
      </c>
      <c r="B169" s="168">
        <v>42985</v>
      </c>
      <c r="C169" s="169">
        <v>0.64374999999999993</v>
      </c>
      <c r="D169" s="160" t="s">
        <v>203</v>
      </c>
      <c r="E169" s="161">
        <v>4.7</v>
      </c>
      <c r="F169" s="162" t="s">
        <v>204</v>
      </c>
      <c r="G169" s="163">
        <v>5</v>
      </c>
      <c r="H169" s="175">
        <v>6060</v>
      </c>
      <c r="I169" s="165">
        <f t="shared" si="33"/>
        <v>6847.7999999999993</v>
      </c>
      <c r="J169" s="171">
        <v>4</v>
      </c>
      <c r="K169" s="167">
        <f t="shared" si="27"/>
        <v>205.29599999999999</v>
      </c>
      <c r="L169" s="167">
        <f t="shared" si="35"/>
        <v>7053.0959999999995</v>
      </c>
      <c r="M169" s="167">
        <f t="shared" si="29"/>
        <v>0</v>
      </c>
      <c r="N169" s="167">
        <f t="shared" si="30"/>
        <v>0</v>
      </c>
      <c r="O169" s="167">
        <f t="shared" si="36"/>
        <v>352.65480000000002</v>
      </c>
    </row>
    <row r="170" spans="1:15" ht="31.5">
      <c r="A170" s="159">
        <v>31</v>
      </c>
      <c r="B170" s="168">
        <v>42985</v>
      </c>
      <c r="C170" s="169">
        <v>0.64444444444444449</v>
      </c>
      <c r="D170" s="160" t="s">
        <v>203</v>
      </c>
      <c r="E170" s="161">
        <v>4.7</v>
      </c>
      <c r="F170" s="162" t="s">
        <v>205</v>
      </c>
      <c r="G170" s="163">
        <v>4</v>
      </c>
      <c r="H170" s="175">
        <v>6054</v>
      </c>
      <c r="I170" s="165">
        <f t="shared" si="33"/>
        <v>6841.0199999999995</v>
      </c>
      <c r="J170" s="171">
        <v>6</v>
      </c>
      <c r="K170" s="167">
        <f t="shared" si="27"/>
        <v>307.94399999999996</v>
      </c>
      <c r="L170" s="167">
        <f t="shared" si="35"/>
        <v>7148.9639999999999</v>
      </c>
      <c r="M170" s="167">
        <f t="shared" si="29"/>
        <v>0</v>
      </c>
      <c r="N170" s="167">
        <f t="shared" si="30"/>
        <v>0</v>
      </c>
      <c r="O170" s="167">
        <f t="shared" si="36"/>
        <v>357.44820000000004</v>
      </c>
    </row>
    <row r="171" spans="1:15" ht="47.25">
      <c r="A171" s="159">
        <v>32</v>
      </c>
      <c r="B171" s="168">
        <v>42985</v>
      </c>
      <c r="C171" s="169">
        <v>0.64513888888888882</v>
      </c>
      <c r="D171" s="160" t="s">
        <v>203</v>
      </c>
      <c r="E171" s="161">
        <v>4.7</v>
      </c>
      <c r="F171" s="162" t="s">
        <v>206</v>
      </c>
      <c r="G171" s="163">
        <v>3</v>
      </c>
      <c r="H171" s="175">
        <v>5143</v>
      </c>
      <c r="I171" s="165">
        <f t="shared" si="33"/>
        <v>5811.5899999999992</v>
      </c>
      <c r="J171" s="171">
        <v>4</v>
      </c>
      <c r="K171" s="167">
        <f t="shared" si="27"/>
        <v>205.29599999999999</v>
      </c>
      <c r="L171" s="167">
        <f t="shared" si="35"/>
        <v>6016.8859999999995</v>
      </c>
      <c r="M171" s="167">
        <f t="shared" si="29"/>
        <v>0</v>
      </c>
      <c r="N171" s="167">
        <f t="shared" si="30"/>
        <v>0</v>
      </c>
      <c r="O171" s="167">
        <f t="shared" si="36"/>
        <v>300.84429999999998</v>
      </c>
    </row>
    <row r="172" spans="1:15" ht="47.25">
      <c r="A172" s="145">
        <v>33</v>
      </c>
      <c r="B172" s="148">
        <v>42985</v>
      </c>
      <c r="C172" s="149">
        <v>0.64583333333333337</v>
      </c>
      <c r="D172" s="146" t="s">
        <v>203</v>
      </c>
      <c r="E172" s="150">
        <v>4.7</v>
      </c>
      <c r="F172" s="151" t="s">
        <v>207</v>
      </c>
      <c r="G172" s="106">
        <v>2</v>
      </c>
      <c r="H172" s="100">
        <v>2498</v>
      </c>
      <c r="I172" s="101">
        <f t="shared" si="33"/>
        <v>2822.74</v>
      </c>
      <c r="J172" s="152">
        <v>4</v>
      </c>
      <c r="K172" s="99">
        <f t="shared" si="27"/>
        <v>205.29599999999999</v>
      </c>
      <c r="L172" s="99">
        <f t="shared" si="35"/>
        <v>3028.0359999999996</v>
      </c>
      <c r="M172" s="99">
        <f t="shared" si="29"/>
        <v>0</v>
      </c>
      <c r="N172" s="99">
        <f t="shared" si="30"/>
        <v>0</v>
      </c>
      <c r="O172" s="99">
        <f t="shared" si="36"/>
        <v>151.40179999999998</v>
      </c>
    </row>
    <row r="173" spans="1:15" ht="31.5">
      <c r="A173" s="147">
        <v>34</v>
      </c>
      <c r="B173" s="148">
        <v>42985</v>
      </c>
      <c r="C173" s="149">
        <v>0.64652777777777781</v>
      </c>
      <c r="D173" s="146" t="s">
        <v>203</v>
      </c>
      <c r="E173" s="150">
        <v>4.7</v>
      </c>
      <c r="F173" s="151" t="s">
        <v>208</v>
      </c>
      <c r="G173" s="106">
        <v>1</v>
      </c>
      <c r="H173" s="100">
        <v>2249</v>
      </c>
      <c r="I173" s="101">
        <f t="shared" si="33"/>
        <v>2541.37</v>
      </c>
      <c r="J173" s="152">
        <v>2</v>
      </c>
      <c r="K173" s="99">
        <f t="shared" si="27"/>
        <v>102.648</v>
      </c>
      <c r="L173" s="99">
        <f t="shared" si="35"/>
        <v>2644.018</v>
      </c>
      <c r="M173" s="99">
        <f t="shared" si="29"/>
        <v>0</v>
      </c>
      <c r="N173" s="99">
        <f t="shared" si="30"/>
        <v>0</v>
      </c>
      <c r="O173" s="99">
        <f t="shared" si="36"/>
        <v>132.20090000000002</v>
      </c>
    </row>
    <row r="174" spans="1:15" ht="31.5">
      <c r="A174" s="147">
        <v>35</v>
      </c>
      <c r="B174" s="148">
        <v>42985</v>
      </c>
      <c r="C174" s="149">
        <v>0.65069444444444446</v>
      </c>
      <c r="D174" s="146" t="s">
        <v>203</v>
      </c>
      <c r="E174" s="150">
        <v>4.7</v>
      </c>
      <c r="F174" s="151" t="s">
        <v>209</v>
      </c>
      <c r="G174" s="106">
        <v>1</v>
      </c>
      <c r="H174" s="100">
        <v>3497</v>
      </c>
      <c r="I174" s="101">
        <f t="shared" si="33"/>
        <v>3951.6099999999997</v>
      </c>
      <c r="J174" s="152">
        <v>2</v>
      </c>
      <c r="K174" s="99">
        <f t="shared" si="27"/>
        <v>102.648</v>
      </c>
      <c r="L174" s="99">
        <f t="shared" si="35"/>
        <v>4054.2579999999998</v>
      </c>
      <c r="M174" s="99">
        <f t="shared" si="29"/>
        <v>0</v>
      </c>
      <c r="N174" s="99">
        <f t="shared" si="30"/>
        <v>0</v>
      </c>
      <c r="O174" s="99">
        <f t="shared" si="36"/>
        <v>202.71289999999999</v>
      </c>
    </row>
    <row r="175" spans="1:15" ht="31.5">
      <c r="A175" s="145">
        <v>36</v>
      </c>
      <c r="B175" s="148">
        <v>42985</v>
      </c>
      <c r="C175" s="149">
        <v>0.65</v>
      </c>
      <c r="D175" s="146" t="s">
        <v>203</v>
      </c>
      <c r="E175" s="150">
        <v>4.7</v>
      </c>
      <c r="F175" s="151" t="s">
        <v>210</v>
      </c>
      <c r="G175" s="106">
        <v>1</v>
      </c>
      <c r="H175" s="100">
        <v>929</v>
      </c>
      <c r="I175" s="101">
        <f t="shared" si="33"/>
        <v>1049.77</v>
      </c>
      <c r="J175" s="152">
        <v>2</v>
      </c>
      <c r="K175" s="99">
        <f t="shared" si="27"/>
        <v>102.648</v>
      </c>
      <c r="L175" s="99">
        <f t="shared" si="35"/>
        <v>1152.4179999999999</v>
      </c>
      <c r="M175" s="99">
        <f t="shared" si="29"/>
        <v>0</v>
      </c>
      <c r="N175" s="99">
        <f t="shared" si="30"/>
        <v>0</v>
      </c>
      <c r="O175" s="99">
        <f t="shared" si="36"/>
        <v>57.620899999999999</v>
      </c>
    </row>
    <row r="176" spans="1:15" ht="31.5">
      <c r="A176" s="147">
        <v>37</v>
      </c>
      <c r="B176" s="148">
        <v>42985</v>
      </c>
      <c r="C176" s="149">
        <v>0.65138888888888891</v>
      </c>
      <c r="D176" s="146" t="s">
        <v>203</v>
      </c>
      <c r="E176" s="150">
        <v>4.7</v>
      </c>
      <c r="F176" s="151" t="s">
        <v>211</v>
      </c>
      <c r="G176" s="106">
        <v>2</v>
      </c>
      <c r="H176" s="100">
        <v>3809</v>
      </c>
      <c r="I176" s="101">
        <f>H176*1.13</f>
        <v>4304.1699999999992</v>
      </c>
      <c r="J176" s="152">
        <v>3</v>
      </c>
      <c r="K176" s="99">
        <f t="shared" si="27"/>
        <v>153.97199999999998</v>
      </c>
      <c r="L176" s="99">
        <f t="shared" si="35"/>
        <v>4458.1419999999989</v>
      </c>
      <c r="M176" s="99">
        <f t="shared" si="29"/>
        <v>0</v>
      </c>
      <c r="N176" s="99">
        <f t="shared" si="30"/>
        <v>0</v>
      </c>
      <c r="O176" s="99">
        <f t="shared" si="36"/>
        <v>222.90709999999996</v>
      </c>
    </row>
    <row r="177" spans="1:15" ht="31.5">
      <c r="A177" s="147">
        <v>38</v>
      </c>
      <c r="B177" s="148">
        <v>42985</v>
      </c>
      <c r="C177" s="149">
        <v>0.65208333333333335</v>
      </c>
      <c r="D177" s="146" t="s">
        <v>203</v>
      </c>
      <c r="E177" s="150">
        <v>4.7</v>
      </c>
      <c r="F177" s="151" t="s">
        <v>212</v>
      </c>
      <c r="G177" s="106">
        <v>4</v>
      </c>
      <c r="H177" s="100">
        <v>3974</v>
      </c>
      <c r="I177" s="101">
        <f t="shared" si="33"/>
        <v>4490.62</v>
      </c>
      <c r="J177" s="152">
        <v>6</v>
      </c>
      <c r="K177" s="99">
        <f t="shared" si="27"/>
        <v>307.94399999999996</v>
      </c>
      <c r="L177" s="99">
        <f t="shared" si="35"/>
        <v>4798.5640000000003</v>
      </c>
      <c r="M177" s="99">
        <f t="shared" si="29"/>
        <v>0</v>
      </c>
      <c r="N177" s="99">
        <f t="shared" si="30"/>
        <v>0</v>
      </c>
      <c r="O177" s="99">
        <f t="shared" si="36"/>
        <v>239.92820000000003</v>
      </c>
    </row>
    <row r="178" spans="1:15" ht="31.5">
      <c r="A178" s="145">
        <v>39</v>
      </c>
      <c r="B178" s="148">
        <v>42992</v>
      </c>
      <c r="C178" s="149">
        <v>0.69861111111111107</v>
      </c>
      <c r="D178" s="146" t="s">
        <v>161</v>
      </c>
      <c r="E178" s="150">
        <v>4.7</v>
      </c>
      <c r="F178" s="151" t="s">
        <v>213</v>
      </c>
      <c r="G178" s="106">
        <v>3</v>
      </c>
      <c r="H178" s="158">
        <v>7445</v>
      </c>
      <c r="I178" s="101">
        <f t="shared" si="33"/>
        <v>8412.8499999999985</v>
      </c>
      <c r="J178" s="152">
        <v>0</v>
      </c>
      <c r="K178" s="99">
        <f t="shared" si="27"/>
        <v>0</v>
      </c>
      <c r="L178" s="99">
        <f>SUM(K178+I178)</f>
        <v>8412.8499999999985</v>
      </c>
      <c r="M178" s="99">
        <f t="shared" si="29"/>
        <v>0</v>
      </c>
      <c r="N178" s="99">
        <f t="shared" si="30"/>
        <v>0</v>
      </c>
      <c r="O178" s="99">
        <f t="shared" si="36"/>
        <v>420.64249999999993</v>
      </c>
    </row>
    <row r="179" spans="1:15" ht="31.5">
      <c r="A179" s="147">
        <v>40</v>
      </c>
      <c r="B179" s="148">
        <v>42992</v>
      </c>
      <c r="C179" s="149">
        <v>0.69930555555555562</v>
      </c>
      <c r="D179" s="146" t="s">
        <v>161</v>
      </c>
      <c r="E179" s="150">
        <v>4.7</v>
      </c>
      <c r="F179" s="151" t="s">
        <v>214</v>
      </c>
      <c r="G179" s="106">
        <v>1</v>
      </c>
      <c r="H179" s="158">
        <v>328</v>
      </c>
      <c r="I179" s="101">
        <v>579.68200000000002</v>
      </c>
      <c r="J179" s="152">
        <v>0</v>
      </c>
      <c r="K179" s="99">
        <f t="shared" si="27"/>
        <v>0</v>
      </c>
      <c r="L179" s="99">
        <f>SUM(K179+I179)</f>
        <v>579.68200000000002</v>
      </c>
      <c r="M179" s="99">
        <f t="shared" si="29"/>
        <v>0</v>
      </c>
      <c r="N179" s="99">
        <f t="shared" si="30"/>
        <v>0</v>
      </c>
      <c r="O179" s="99">
        <f t="shared" si="36"/>
        <v>28.984100000000002</v>
      </c>
    </row>
    <row r="180" spans="1:15" ht="31.5">
      <c r="A180" s="147">
        <v>41</v>
      </c>
      <c r="B180" s="148">
        <v>42992</v>
      </c>
      <c r="C180" s="149">
        <v>0.7006944444444444</v>
      </c>
      <c r="D180" s="146" t="s">
        <v>161</v>
      </c>
      <c r="E180" s="150">
        <v>4.7</v>
      </c>
      <c r="F180" s="151" t="s">
        <v>215</v>
      </c>
      <c r="G180" s="106">
        <v>1</v>
      </c>
      <c r="H180" s="158">
        <v>3104</v>
      </c>
      <c r="I180" s="101">
        <f t="shared" si="33"/>
        <v>3507.5199999999995</v>
      </c>
      <c r="J180" s="152">
        <v>2</v>
      </c>
      <c r="K180" s="99">
        <f t="shared" si="27"/>
        <v>102.648</v>
      </c>
      <c r="L180" s="99">
        <f>SUM(K180+I180)</f>
        <v>3610.1679999999997</v>
      </c>
      <c r="M180" s="99">
        <f t="shared" si="29"/>
        <v>0</v>
      </c>
      <c r="N180" s="99">
        <f t="shared" si="30"/>
        <v>0</v>
      </c>
      <c r="O180" s="99">
        <f t="shared" si="36"/>
        <v>180.50839999999999</v>
      </c>
    </row>
    <row r="181" spans="1:15" ht="15.75">
      <c r="A181" s="147">
        <v>41</v>
      </c>
      <c r="B181" s="148"/>
      <c r="C181" s="149"/>
      <c r="D181" s="146"/>
      <c r="E181" s="150"/>
      <c r="F181" s="154" t="s">
        <v>177</v>
      </c>
      <c r="G181" s="183">
        <f t="shared" ref="G181:O181" si="37">SUM(G140:G180)</f>
        <v>72</v>
      </c>
      <c r="H181" s="183">
        <f t="shared" si="37"/>
        <v>109667</v>
      </c>
      <c r="I181" s="184">
        <f t="shared" si="37"/>
        <v>123948.727</v>
      </c>
      <c r="J181" s="183">
        <f t="shared" si="37"/>
        <v>91</v>
      </c>
      <c r="K181" s="184">
        <f t="shared" si="37"/>
        <v>4670.4839999999995</v>
      </c>
      <c r="L181" s="184">
        <f t="shared" si="37"/>
        <v>128619.21099999998</v>
      </c>
      <c r="M181" s="184">
        <f t="shared" si="37"/>
        <v>0</v>
      </c>
      <c r="N181" s="184">
        <f t="shared" si="37"/>
        <v>0</v>
      </c>
      <c r="O181" s="184">
        <f t="shared" si="37"/>
        <v>6430.9605499999989</v>
      </c>
    </row>
  </sheetData>
  <mergeCells count="11">
    <mergeCell ref="A52:O52"/>
    <mergeCell ref="A96:O96"/>
    <mergeCell ref="J2:K2"/>
    <mergeCell ref="L2:L3"/>
    <mergeCell ref="M2:O2"/>
    <mergeCell ref="A2:A3"/>
    <mergeCell ref="B2:B3"/>
    <mergeCell ref="D2:D3"/>
    <mergeCell ref="F2:F3"/>
    <mergeCell ref="G2:G3"/>
    <mergeCell ref="H2:I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zoomScale="60" zoomScaleNormal="98" workbookViewId="0">
      <selection sqref="A1:L17"/>
    </sheetView>
  </sheetViews>
  <sheetFormatPr defaultRowHeight="15"/>
  <cols>
    <col min="1" max="1" width="4.5703125" customWidth="1"/>
    <col min="2" max="2" width="20" customWidth="1"/>
    <col min="3" max="3" width="17.42578125" customWidth="1"/>
    <col min="4" max="4" width="23" customWidth="1"/>
    <col min="5" max="5" width="9.140625" customWidth="1"/>
    <col min="6" max="6" width="9.7109375" customWidth="1"/>
    <col min="7" max="7" width="11" customWidth="1"/>
    <col min="8" max="8" width="9" customWidth="1"/>
    <col min="9" max="9" width="11.42578125" customWidth="1"/>
    <col min="10" max="10" width="10.28515625" customWidth="1"/>
    <col min="11" max="11" width="11.140625" customWidth="1"/>
    <col min="12" max="12" width="13.28515625" customWidth="1"/>
  </cols>
  <sheetData>
    <row r="1" spans="1:12">
      <c r="C1" s="331"/>
      <c r="D1" s="331"/>
      <c r="E1" s="331"/>
      <c r="F1" s="331"/>
      <c r="G1" s="331"/>
      <c r="H1" s="331"/>
    </row>
    <row r="2" spans="1:12" ht="24" customHeight="1">
      <c r="A2" s="457" t="s">
        <v>291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367"/>
    </row>
    <row r="3" spans="1:12" ht="34.5" customHeight="1">
      <c r="A3" s="469" t="s">
        <v>292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368" t="s">
        <v>311</v>
      </c>
    </row>
    <row r="4" spans="1:12" ht="20.25" customHeight="1">
      <c r="A4" s="459" t="s">
        <v>269</v>
      </c>
      <c r="B4" s="460" t="s">
        <v>270</v>
      </c>
      <c r="C4" s="463" t="s">
        <v>287</v>
      </c>
      <c r="D4" s="464"/>
      <c r="E4" s="464"/>
      <c r="F4" s="464"/>
      <c r="G4" s="455"/>
      <c r="H4" s="364"/>
      <c r="I4" s="365" t="s">
        <v>303</v>
      </c>
      <c r="J4" s="365"/>
      <c r="K4" s="366"/>
      <c r="L4" s="452" t="s">
        <v>304</v>
      </c>
    </row>
    <row r="5" spans="1:12" ht="20.25" customHeight="1">
      <c r="A5" s="459"/>
      <c r="B5" s="461"/>
      <c r="C5" s="466" t="s">
        <v>288</v>
      </c>
      <c r="D5" s="452" t="s">
        <v>298</v>
      </c>
      <c r="E5" s="466" t="s">
        <v>283</v>
      </c>
      <c r="F5" s="463" t="s">
        <v>284</v>
      </c>
      <c r="G5" s="350" t="s">
        <v>271</v>
      </c>
      <c r="H5" s="452" t="s">
        <v>310</v>
      </c>
      <c r="I5" s="455" t="s">
        <v>300</v>
      </c>
      <c r="J5" s="456" t="s">
        <v>302</v>
      </c>
      <c r="K5" s="470" t="s">
        <v>301</v>
      </c>
      <c r="L5" s="453"/>
    </row>
    <row r="6" spans="1:12" ht="24.75" customHeight="1">
      <c r="A6" s="459"/>
      <c r="B6" s="461"/>
      <c r="C6" s="466"/>
      <c r="D6" s="453"/>
      <c r="E6" s="466"/>
      <c r="F6" s="463"/>
      <c r="G6" s="351" t="s">
        <v>272</v>
      </c>
      <c r="H6" s="454"/>
      <c r="I6" s="455"/>
      <c r="J6" s="456"/>
      <c r="K6" s="471"/>
      <c r="L6" s="454"/>
    </row>
    <row r="7" spans="1:12" ht="21.75" customHeight="1">
      <c r="A7" s="459"/>
      <c r="B7" s="462"/>
      <c r="C7" s="466"/>
      <c r="D7" s="454"/>
      <c r="E7" s="466"/>
      <c r="F7" s="466"/>
      <c r="G7" s="349" t="s">
        <v>273</v>
      </c>
      <c r="H7" s="361" t="s">
        <v>273</v>
      </c>
      <c r="I7" s="362" t="s">
        <v>273</v>
      </c>
      <c r="J7" s="362" t="s">
        <v>273</v>
      </c>
      <c r="K7" s="362" t="s">
        <v>273</v>
      </c>
      <c r="L7" s="362" t="s">
        <v>299</v>
      </c>
    </row>
    <row r="8" spans="1:12" ht="30" customHeight="1">
      <c r="A8" s="352">
        <v>1</v>
      </c>
      <c r="B8" s="329" t="s">
        <v>274</v>
      </c>
      <c r="C8" s="354">
        <v>6672049</v>
      </c>
      <c r="D8" s="370" t="s">
        <v>307</v>
      </c>
      <c r="E8" s="343">
        <v>1</v>
      </c>
      <c r="F8" s="344">
        <v>1</v>
      </c>
      <c r="G8" s="344">
        <v>4</v>
      </c>
      <c r="H8" s="339">
        <v>1</v>
      </c>
      <c r="I8" s="372">
        <v>0</v>
      </c>
      <c r="J8" s="345">
        <f>E8-H8-I8</f>
        <v>0</v>
      </c>
      <c r="K8" s="345">
        <v>0</v>
      </c>
      <c r="L8" s="374" t="e">
        <f>адреса!#REF!</f>
        <v>#REF!</v>
      </c>
    </row>
    <row r="9" spans="1:12" ht="41.25" customHeight="1">
      <c r="A9" s="352">
        <v>2</v>
      </c>
      <c r="B9" s="329" t="s">
        <v>275</v>
      </c>
      <c r="C9" s="354">
        <v>20515794</v>
      </c>
      <c r="D9" s="370" t="s">
        <v>308</v>
      </c>
      <c r="E9" s="343">
        <v>3</v>
      </c>
      <c r="F9" s="344">
        <v>5</v>
      </c>
      <c r="G9" s="344">
        <v>10</v>
      </c>
      <c r="H9" s="339">
        <v>3</v>
      </c>
      <c r="I9" s="372">
        <v>0</v>
      </c>
      <c r="J9" s="373">
        <f t="shared" ref="J9:J15" si="0">E9-H9-I9</f>
        <v>0</v>
      </c>
      <c r="K9" s="345">
        <v>0</v>
      </c>
      <c r="L9" s="375" t="e">
        <f>адреса!#REF!</f>
        <v>#REF!</v>
      </c>
    </row>
    <row r="10" spans="1:12" ht="29.25" customHeight="1">
      <c r="A10" s="352">
        <v>3</v>
      </c>
      <c r="B10" s="326" t="s">
        <v>276</v>
      </c>
      <c r="C10" s="354">
        <v>169539942</v>
      </c>
      <c r="D10" s="371" t="s">
        <v>306</v>
      </c>
      <c r="E10" s="343">
        <v>19</v>
      </c>
      <c r="F10" s="344">
        <v>36</v>
      </c>
      <c r="G10" s="344">
        <v>62</v>
      </c>
      <c r="H10" s="339">
        <v>2</v>
      </c>
      <c r="I10" s="372">
        <v>0</v>
      </c>
      <c r="J10" s="373">
        <f t="shared" si="0"/>
        <v>17</v>
      </c>
      <c r="K10" s="345">
        <v>0</v>
      </c>
      <c r="L10" s="375" t="e">
        <f>адреса!#REF!</f>
        <v>#REF!</v>
      </c>
    </row>
    <row r="11" spans="1:12" ht="27.75" customHeight="1">
      <c r="A11" s="352">
        <v>4</v>
      </c>
      <c r="B11" s="326" t="s">
        <v>277</v>
      </c>
      <c r="C11" s="354">
        <v>61733959</v>
      </c>
      <c r="D11" s="371"/>
      <c r="E11" s="343">
        <v>9</v>
      </c>
      <c r="F11" s="344">
        <v>20</v>
      </c>
      <c r="G11" s="344">
        <v>35</v>
      </c>
      <c r="H11" s="339">
        <v>0</v>
      </c>
      <c r="I11" s="372">
        <v>0</v>
      </c>
      <c r="J11" s="373">
        <f t="shared" si="0"/>
        <v>9</v>
      </c>
      <c r="K11" s="345">
        <v>0</v>
      </c>
      <c r="L11" s="374" t="e">
        <f>адреса!#REF!</f>
        <v>#REF!</v>
      </c>
    </row>
    <row r="12" spans="1:12" ht="30.75" customHeight="1">
      <c r="A12" s="342">
        <v>5</v>
      </c>
      <c r="B12" s="326" t="s">
        <v>278</v>
      </c>
      <c r="C12" s="355">
        <v>14784755</v>
      </c>
      <c r="D12" s="370" t="s">
        <v>309</v>
      </c>
      <c r="E12" s="343">
        <v>4</v>
      </c>
      <c r="F12" s="344">
        <v>4</v>
      </c>
      <c r="G12" s="344">
        <v>5</v>
      </c>
      <c r="H12" s="339">
        <v>1</v>
      </c>
      <c r="I12" s="372">
        <v>0</v>
      </c>
      <c r="J12" s="373">
        <f t="shared" si="0"/>
        <v>3</v>
      </c>
      <c r="K12" s="345">
        <v>0</v>
      </c>
      <c r="L12" s="374" t="e">
        <f>адреса!#REF!</f>
        <v>#REF!</v>
      </c>
    </row>
    <row r="13" spans="1:12" ht="30" customHeight="1">
      <c r="A13" s="342">
        <v>6</v>
      </c>
      <c r="B13" s="326" t="s">
        <v>279</v>
      </c>
      <c r="C13" s="354">
        <v>85814499</v>
      </c>
      <c r="D13" s="370" t="s">
        <v>309</v>
      </c>
      <c r="E13" s="343">
        <v>13</v>
      </c>
      <c r="F13" s="344">
        <v>19</v>
      </c>
      <c r="G13" s="344">
        <v>32</v>
      </c>
      <c r="H13" s="339">
        <v>1</v>
      </c>
      <c r="I13" s="372">
        <v>0</v>
      </c>
      <c r="J13" s="373">
        <f t="shared" si="0"/>
        <v>12</v>
      </c>
      <c r="K13" s="345">
        <v>0</v>
      </c>
      <c r="L13" s="374" t="e">
        <f>адреса!#REF!</f>
        <v>#REF!</v>
      </c>
    </row>
    <row r="14" spans="1:12" ht="27.75" customHeight="1">
      <c r="A14" s="353">
        <v>7</v>
      </c>
      <c r="B14" s="326" t="s">
        <v>280</v>
      </c>
      <c r="C14" s="354">
        <v>16853351</v>
      </c>
      <c r="D14" s="371" t="s">
        <v>306</v>
      </c>
      <c r="E14" s="348">
        <v>3</v>
      </c>
      <c r="F14" s="344">
        <v>6</v>
      </c>
      <c r="G14" s="344">
        <v>11</v>
      </c>
      <c r="H14" s="339">
        <v>0</v>
      </c>
      <c r="I14" s="372">
        <v>0</v>
      </c>
      <c r="J14" s="373">
        <f t="shared" si="0"/>
        <v>3</v>
      </c>
      <c r="K14" s="345">
        <v>0</v>
      </c>
      <c r="L14" s="374" t="e">
        <f>адреса!#REF!</f>
        <v>#REF!</v>
      </c>
    </row>
    <row r="15" spans="1:12" ht="27.75" customHeight="1">
      <c r="A15" s="342">
        <v>8</v>
      </c>
      <c r="B15" s="326" t="s">
        <v>281</v>
      </c>
      <c r="C15" s="354">
        <v>176493255</v>
      </c>
      <c r="D15" s="371" t="s">
        <v>305</v>
      </c>
      <c r="E15" s="343">
        <v>33</v>
      </c>
      <c r="F15" s="346">
        <v>54</v>
      </c>
      <c r="G15" s="346">
        <v>97</v>
      </c>
      <c r="H15" s="347">
        <v>5</v>
      </c>
      <c r="I15" s="347">
        <v>0</v>
      </c>
      <c r="J15" s="373">
        <f t="shared" si="0"/>
        <v>28</v>
      </c>
      <c r="K15" s="345">
        <v>0</v>
      </c>
      <c r="L15" s="374" t="e">
        <f>адреса!#REF!</f>
        <v>#REF!</v>
      </c>
    </row>
    <row r="16" spans="1:12" ht="25.5" customHeight="1">
      <c r="A16" s="327"/>
      <c r="B16" s="340" t="s">
        <v>282</v>
      </c>
      <c r="C16" s="341">
        <f>SUM(C8:C15)</f>
        <v>552407604</v>
      </c>
      <c r="D16" s="341"/>
      <c r="E16" s="341">
        <f t="shared" ref="E16:K16" si="1">SUM(E8:E15)</f>
        <v>85</v>
      </c>
      <c r="F16" s="341">
        <f t="shared" si="1"/>
        <v>145</v>
      </c>
      <c r="G16" s="341">
        <f t="shared" si="1"/>
        <v>256</v>
      </c>
      <c r="H16" s="341">
        <f t="shared" si="1"/>
        <v>13</v>
      </c>
      <c r="I16" s="341">
        <f t="shared" si="1"/>
        <v>0</v>
      </c>
      <c r="J16" s="341">
        <f t="shared" si="1"/>
        <v>72</v>
      </c>
      <c r="K16" s="341">
        <f t="shared" si="1"/>
        <v>0</v>
      </c>
      <c r="L16" s="376" t="e">
        <f>адреса!#REF!</f>
        <v>#REF!</v>
      </c>
    </row>
    <row r="17" spans="1:12">
      <c r="E17" s="330"/>
      <c r="F17" s="330"/>
      <c r="G17" s="330"/>
      <c r="H17" s="330"/>
      <c r="I17" s="330"/>
      <c r="J17" s="330"/>
      <c r="K17" s="330"/>
      <c r="L17" s="330"/>
    </row>
    <row r="20" spans="1:12">
      <c r="C20" s="331"/>
      <c r="D20" s="331"/>
      <c r="E20" s="331"/>
      <c r="F20" s="331"/>
      <c r="G20" s="331"/>
      <c r="H20" s="331"/>
    </row>
    <row r="21" spans="1:12" ht="18.75">
      <c r="A21" s="457" t="s">
        <v>291</v>
      </c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</row>
    <row r="22" spans="1:12" ht="18.75">
      <c r="A22" s="458" t="s">
        <v>297</v>
      </c>
      <c r="B22" s="458"/>
      <c r="C22" s="458"/>
      <c r="D22" s="458"/>
      <c r="E22" s="458"/>
      <c r="F22" s="458"/>
      <c r="G22" s="458"/>
      <c r="H22" s="458"/>
      <c r="I22" s="458"/>
      <c r="J22" s="458"/>
      <c r="K22" s="360" t="s">
        <v>228</v>
      </c>
      <c r="L22" s="359"/>
    </row>
    <row r="23" spans="1:12">
      <c r="A23" s="459" t="s">
        <v>269</v>
      </c>
      <c r="B23" s="460" t="s">
        <v>270</v>
      </c>
      <c r="C23" s="463" t="s">
        <v>287</v>
      </c>
      <c r="D23" s="464"/>
      <c r="E23" s="464"/>
      <c r="F23" s="464"/>
      <c r="G23" s="465"/>
      <c r="H23" s="465"/>
      <c r="I23" s="464"/>
      <c r="J23" s="464"/>
      <c r="K23" s="464"/>
      <c r="L23" s="464"/>
    </row>
    <row r="24" spans="1:12" ht="15" customHeight="1">
      <c r="A24" s="459"/>
      <c r="B24" s="461"/>
      <c r="C24" s="466" t="s">
        <v>288</v>
      </c>
      <c r="D24" s="362"/>
      <c r="E24" s="466" t="s">
        <v>283</v>
      </c>
      <c r="F24" s="463" t="s">
        <v>284</v>
      </c>
      <c r="G24" s="350" t="s">
        <v>271</v>
      </c>
      <c r="H24" s="452" t="s">
        <v>285</v>
      </c>
      <c r="I24" s="455" t="s">
        <v>286</v>
      </c>
      <c r="J24" s="456" t="s">
        <v>267</v>
      </c>
      <c r="K24" s="456" t="s">
        <v>268</v>
      </c>
      <c r="L24" s="467" t="s">
        <v>295</v>
      </c>
    </row>
    <row r="25" spans="1:12">
      <c r="A25" s="459"/>
      <c r="B25" s="461"/>
      <c r="C25" s="466"/>
      <c r="D25" s="362"/>
      <c r="E25" s="466"/>
      <c r="F25" s="463"/>
      <c r="G25" s="351" t="s">
        <v>272</v>
      </c>
      <c r="H25" s="454"/>
      <c r="I25" s="455"/>
      <c r="J25" s="456"/>
      <c r="K25" s="456"/>
      <c r="L25" s="468"/>
    </row>
    <row r="26" spans="1:12">
      <c r="A26" s="459"/>
      <c r="B26" s="462"/>
      <c r="C26" s="466"/>
      <c r="D26" s="362"/>
      <c r="E26" s="466"/>
      <c r="F26" s="466"/>
      <c r="G26" s="356" t="s">
        <v>273</v>
      </c>
      <c r="H26" s="356" t="s">
        <v>273</v>
      </c>
      <c r="I26" s="357" t="s">
        <v>273</v>
      </c>
      <c r="J26" s="357" t="s">
        <v>273</v>
      </c>
      <c r="K26" s="357" t="s">
        <v>273</v>
      </c>
      <c r="L26" s="357" t="s">
        <v>273</v>
      </c>
    </row>
    <row r="27" spans="1:12">
      <c r="A27" s="352">
        <v>1</v>
      </c>
      <c r="B27" s="329" t="s">
        <v>274</v>
      </c>
      <c r="C27" s="354">
        <v>34112838</v>
      </c>
      <c r="D27" s="354"/>
      <c r="E27" s="343">
        <v>10</v>
      </c>
      <c r="F27" s="344">
        <v>10</v>
      </c>
      <c r="G27" s="344">
        <v>28</v>
      </c>
      <c r="H27" s="357">
        <v>5</v>
      </c>
      <c r="I27" s="357">
        <v>0</v>
      </c>
      <c r="J27" s="358">
        <v>43</v>
      </c>
      <c r="K27" s="358">
        <v>43</v>
      </c>
      <c r="L27" s="358"/>
    </row>
    <row r="28" spans="1:12">
      <c r="A28" s="352">
        <v>2</v>
      </c>
      <c r="B28" s="329" t="s">
        <v>275</v>
      </c>
      <c r="C28" s="354">
        <v>27049392</v>
      </c>
      <c r="D28" s="354"/>
      <c r="E28" s="343">
        <v>4</v>
      </c>
      <c r="F28" s="344">
        <v>6</v>
      </c>
      <c r="G28" s="344">
        <v>23</v>
      </c>
      <c r="H28" s="357">
        <v>4</v>
      </c>
      <c r="I28" s="357">
        <v>0</v>
      </c>
      <c r="J28" s="358">
        <v>30</v>
      </c>
      <c r="K28" s="358">
        <v>33</v>
      </c>
      <c r="L28" s="358"/>
    </row>
    <row r="29" spans="1:12">
      <c r="A29" s="352">
        <v>3</v>
      </c>
      <c r="B29" s="326" t="s">
        <v>277</v>
      </c>
      <c r="C29" s="354">
        <v>17223459</v>
      </c>
      <c r="D29" s="354"/>
      <c r="E29" s="343">
        <v>4</v>
      </c>
      <c r="F29" s="344">
        <v>4</v>
      </c>
      <c r="G29" s="344">
        <v>18</v>
      </c>
      <c r="H29" s="357">
        <v>1</v>
      </c>
      <c r="I29" s="357">
        <v>0</v>
      </c>
      <c r="J29" s="358">
        <v>14</v>
      </c>
      <c r="K29" s="358">
        <v>2</v>
      </c>
      <c r="L29" s="358"/>
    </row>
    <row r="30" spans="1:12">
      <c r="A30" s="353">
        <v>4</v>
      </c>
      <c r="B30" s="326" t="s">
        <v>280</v>
      </c>
      <c r="C30" s="354">
        <v>28928059</v>
      </c>
      <c r="D30" s="354"/>
      <c r="E30" s="348">
        <v>7</v>
      </c>
      <c r="F30" s="344">
        <v>8</v>
      </c>
      <c r="G30" s="344">
        <v>12</v>
      </c>
      <c r="H30" s="357">
        <v>1</v>
      </c>
      <c r="I30" s="357">
        <v>0</v>
      </c>
      <c r="J30" s="358">
        <v>19</v>
      </c>
      <c r="K30" s="358">
        <v>17</v>
      </c>
      <c r="L30" s="358"/>
    </row>
    <row r="31" spans="1:12">
      <c r="A31" s="327"/>
      <c r="B31" s="340" t="s">
        <v>282</v>
      </c>
      <c r="C31" s="341">
        <f t="shared" ref="C31:K31" si="2">SUM(C27:C30)</f>
        <v>107313748</v>
      </c>
      <c r="D31" s="341"/>
      <c r="E31" s="341">
        <f t="shared" si="2"/>
        <v>25</v>
      </c>
      <c r="F31" s="341">
        <f t="shared" si="2"/>
        <v>28</v>
      </c>
      <c r="G31" s="341">
        <f t="shared" si="2"/>
        <v>81</v>
      </c>
      <c r="H31" s="341">
        <f t="shared" si="2"/>
        <v>11</v>
      </c>
      <c r="I31" s="341">
        <f t="shared" si="2"/>
        <v>0</v>
      </c>
      <c r="J31" s="341">
        <f t="shared" si="2"/>
        <v>106</v>
      </c>
      <c r="K31" s="341">
        <f t="shared" si="2"/>
        <v>95</v>
      </c>
      <c r="L31" s="341">
        <v>0</v>
      </c>
    </row>
    <row r="32" spans="1:12">
      <c r="E32" s="330"/>
      <c r="F32" s="330"/>
      <c r="G32" s="330"/>
      <c r="H32" s="330"/>
      <c r="I32" s="330"/>
      <c r="J32" s="330"/>
      <c r="K32" s="330"/>
      <c r="L32" s="330"/>
    </row>
  </sheetData>
  <mergeCells count="27">
    <mergeCell ref="A3:K3"/>
    <mergeCell ref="A2:K2"/>
    <mergeCell ref="D5:D7"/>
    <mergeCell ref="C4:G4"/>
    <mergeCell ref="H5:H6"/>
    <mergeCell ref="J5:J6"/>
    <mergeCell ref="B4:B7"/>
    <mergeCell ref="C5:C7"/>
    <mergeCell ref="E5:E7"/>
    <mergeCell ref="F5:F7"/>
    <mergeCell ref="K5:K6"/>
    <mergeCell ref="I5:I6"/>
    <mergeCell ref="L4:L6"/>
    <mergeCell ref="I24:I25"/>
    <mergeCell ref="J24:J25"/>
    <mergeCell ref="K24:K25"/>
    <mergeCell ref="A21:L21"/>
    <mergeCell ref="A22:J22"/>
    <mergeCell ref="A23:A26"/>
    <mergeCell ref="B23:B26"/>
    <mergeCell ref="C23:L23"/>
    <mergeCell ref="C24:C26"/>
    <mergeCell ref="E24:E26"/>
    <mergeCell ref="F24:F26"/>
    <mergeCell ref="H24:H25"/>
    <mergeCell ref="L24:L25"/>
    <mergeCell ref="A4:A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без отказных </vt:lpstr>
      <vt:lpstr>адреса</vt:lpstr>
      <vt:lpstr>общий с отказными</vt:lpstr>
      <vt:lpstr>2019-2021</vt:lpstr>
      <vt:lpstr>общий</vt:lpstr>
      <vt:lpstr>адреса!Заголовки_для_печати</vt:lpstr>
      <vt:lpstr>'без отказных '!Заголовки_для_печати</vt:lpstr>
      <vt:lpstr>'общий с отказными'!Заголовки_для_печати</vt:lpstr>
      <vt:lpstr>адреса!Область_печати</vt:lpstr>
      <vt:lpstr>'без отказных '!Область_печати</vt:lpstr>
      <vt:lpstr>'общий с отказными'!Область_печати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ishakova</dc:creator>
  <cp:lastModifiedBy>ОПТО (Алексей)</cp:lastModifiedBy>
  <cp:lastPrinted>2019-05-27T10:55:35Z</cp:lastPrinted>
  <dcterms:created xsi:type="dcterms:W3CDTF">2017-03-02T11:21:00Z</dcterms:created>
  <dcterms:modified xsi:type="dcterms:W3CDTF">2019-05-28T03:28:53Z</dcterms:modified>
</cp:coreProperties>
</file>